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10095" tabRatio="791" activeTab="5"/>
  </bookViews>
  <sheets>
    <sheet name="форма 1" sheetId="15" r:id="rId1"/>
    <sheet name="форма 2" sheetId="5" r:id="rId2"/>
    <sheet name="форма 3" sheetId="16" r:id="rId3"/>
    <sheet name="форма 4" sheetId="12" r:id="rId4"/>
    <sheet name="форма 5" sheetId="9" r:id="rId5"/>
    <sheet name="форма 6" sheetId="13" r:id="rId6"/>
    <sheet name="копия прил 5" sheetId="8" state="hidden" r:id="rId7"/>
    <sheet name="гос задание" sheetId="6" state="hidden" r:id="rId8"/>
    <sheet name="ресурсн обеспечен" sheetId="4" state="hidden" r:id="rId9"/>
  </sheets>
  <externalReferences>
    <externalReference r:id="rId10"/>
    <externalReference r:id="rId11"/>
    <externalReference r:id="rId12"/>
    <externalReference r:id="rId13"/>
  </externalReferences>
  <definedNames>
    <definedName name="_GoBack" localSheetId="2">'форма 3'!#REF!</definedName>
    <definedName name="_xlnm._FilterDatabase" localSheetId="6" hidden="1">'копия прил 5'!$L$17:$L$234</definedName>
    <definedName name="_xlnm._FilterDatabase" localSheetId="8" hidden="1">'ресурсн обеспечен'!$L$17:$L$230</definedName>
    <definedName name="_xlnm._FilterDatabase" localSheetId="0" hidden="1">'форма 1'!$A$20:$AE$20</definedName>
    <definedName name="_xlnm._FilterDatabase" localSheetId="2" hidden="1">'форма 3'!$A$15:$M$133</definedName>
    <definedName name="_xlnm.Print_Titles" localSheetId="7">'гос задание'!$16:$17</definedName>
    <definedName name="_xlnm.Print_Titles" localSheetId="6">'копия прил 5'!$16:$17</definedName>
    <definedName name="_xlnm.Print_Titles" localSheetId="8">'ресурсн обеспечен'!$16:$17</definedName>
    <definedName name="_xlnm.Print_Titles" localSheetId="0">'форма 1'!$19:$20</definedName>
    <definedName name="_xlnm.Print_Titles" localSheetId="1">'форма 2'!$18:$19</definedName>
    <definedName name="_xlnm.Print_Titles" localSheetId="2">'форма 3'!$14:$15</definedName>
    <definedName name="_xlnm.Print_Titles" localSheetId="3">'форма 4'!$20:$21</definedName>
    <definedName name="_xlnm.Print_Titles" localSheetId="4">'форма 5'!$21:$23</definedName>
    <definedName name="_xlnm.Print_Area" localSheetId="7">'гос задание'!$A$1:$W$55</definedName>
    <definedName name="_xlnm.Print_Area" localSheetId="6">'копия прил 5'!$A$1:$Q$241</definedName>
    <definedName name="_xlnm.Print_Area" localSheetId="8">'ресурсн обеспечен'!$A$1:$Q$237</definedName>
    <definedName name="_xlnm.Print_Area" localSheetId="0">'форма 1'!$A$1:$S$139</definedName>
    <definedName name="_xlnm.Print_Area" localSheetId="1">'форма 2'!$A$1:$G$62</definedName>
    <definedName name="_xlnm.Print_Area" localSheetId="2">'форма 3'!$A$1:$M$136</definedName>
    <definedName name="_xlnm.Print_Area" localSheetId="3">'форма 4'!$A$1:$N$37</definedName>
    <definedName name="_xlnm.Print_Area" localSheetId="4">'форма 5'!$A$1:$L$53</definedName>
    <definedName name="_xlnm.Print_Area" localSheetId="5">'форма 6'!$A$1:$E$27</definedName>
  </definedNames>
  <calcPr calcId="125725"/>
</workbook>
</file>

<file path=xl/calcChain.xml><?xml version="1.0" encoding="utf-8"?>
<calcChain xmlns="http://schemas.openxmlformats.org/spreadsheetml/2006/main">
  <c r="K117" i="16"/>
  <c r="K85"/>
  <c r="K50"/>
  <c r="K24"/>
  <c r="K20"/>
  <c r="M25" i="12"/>
  <c r="N25"/>
  <c r="M26"/>
  <c r="N26"/>
  <c r="M27"/>
  <c r="N27"/>
  <c r="M28"/>
  <c r="N28"/>
  <c r="M29"/>
  <c r="N29"/>
  <c r="M31"/>
  <c r="N31"/>
  <c r="M32"/>
  <c r="N32"/>
  <c r="M33"/>
  <c r="N33"/>
  <c r="M34"/>
  <c r="N34"/>
  <c r="M35"/>
  <c r="N35"/>
  <c r="M36"/>
  <c r="N36"/>
  <c r="N23"/>
  <c r="M23"/>
  <c r="I30" l="1"/>
  <c r="J30"/>
  <c r="K30"/>
  <c r="L30"/>
  <c r="H30"/>
  <c r="N30" l="1"/>
  <c r="M30"/>
  <c r="O69" i="15"/>
  <c r="N69"/>
  <c r="G29" i="5" l="1"/>
  <c r="G31"/>
  <c r="G37"/>
  <c r="G39"/>
  <c r="G45"/>
  <c r="G46"/>
  <c r="G51"/>
  <c r="G53"/>
  <c r="E52"/>
  <c r="G52" s="1"/>
  <c r="F44"/>
  <c r="E44"/>
  <c r="E36"/>
  <c r="G36" s="1"/>
  <c r="E28"/>
  <c r="G28" s="1"/>
  <c r="E26"/>
  <c r="E27"/>
  <c r="E24"/>
  <c r="E25"/>
  <c r="E21"/>
  <c r="E22"/>
  <c r="E23"/>
  <c r="F27"/>
  <c r="F23"/>
  <c r="F22"/>
  <c r="F21"/>
  <c r="G21" s="1"/>
  <c r="G23" l="1"/>
  <c r="F20"/>
  <c r="G22"/>
  <c r="G27"/>
  <c r="G44"/>
  <c r="E20"/>
  <c r="G20" s="1"/>
  <c r="R52" i="15"/>
  <c r="S52"/>
  <c r="R53"/>
  <c r="S53"/>
  <c r="O23"/>
  <c r="N23"/>
  <c r="Q135"/>
  <c r="N36" l="1"/>
  <c r="O36"/>
  <c r="P36"/>
  <c r="N34"/>
  <c r="O34"/>
  <c r="P34"/>
  <c r="N35"/>
  <c r="O35"/>
  <c r="P35"/>
  <c r="N37"/>
  <c r="O37"/>
  <c r="P37"/>
  <c r="N38"/>
  <c r="O38"/>
  <c r="P38"/>
  <c r="N30"/>
  <c r="O30"/>
  <c r="P30"/>
  <c r="N28"/>
  <c r="O28"/>
  <c r="P28"/>
  <c r="N31"/>
  <c r="O31"/>
  <c r="P31"/>
  <c r="N40"/>
  <c r="O40"/>
  <c r="P40"/>
  <c r="N27"/>
  <c r="O27"/>
  <c r="P27"/>
  <c r="N29"/>
  <c r="O29"/>
  <c r="P29"/>
  <c r="N46"/>
  <c r="O46"/>
  <c r="P46"/>
  <c r="N41"/>
  <c r="O41"/>
  <c r="P41"/>
  <c r="N42"/>
  <c r="O42"/>
  <c r="P42"/>
  <c r="N43"/>
  <c r="O43"/>
  <c r="P43"/>
  <c r="N33"/>
  <c r="O33"/>
  <c r="P33"/>
  <c r="N44"/>
  <c r="O44"/>
  <c r="P44"/>
  <c r="N32"/>
  <c r="O32"/>
  <c r="P32"/>
  <c r="N45"/>
  <c r="O45"/>
  <c r="P45"/>
  <c r="N47"/>
  <c r="O47"/>
  <c r="P47"/>
  <c r="N49"/>
  <c r="O49"/>
  <c r="P49"/>
  <c r="N55"/>
  <c r="O55"/>
  <c r="P55"/>
  <c r="N56"/>
  <c r="O56"/>
  <c r="P56"/>
  <c r="N66"/>
  <c r="O66"/>
  <c r="P66"/>
  <c r="N127"/>
  <c r="N126" s="1"/>
  <c r="O127"/>
  <c r="O126" s="1"/>
  <c r="P127"/>
  <c r="N129"/>
  <c r="N128" s="1"/>
  <c r="O129"/>
  <c r="O128" s="1"/>
  <c r="P129"/>
  <c r="N131"/>
  <c r="N130" s="1"/>
  <c r="O131"/>
  <c r="O130" s="1"/>
  <c r="P131"/>
  <c r="N133"/>
  <c r="O133"/>
  <c r="P133"/>
  <c r="N134"/>
  <c r="O134"/>
  <c r="P134"/>
  <c r="N136"/>
  <c r="N135" s="1"/>
  <c r="O136"/>
  <c r="O135" s="1"/>
  <c r="P136"/>
  <c r="P39"/>
  <c r="O39"/>
  <c r="N39"/>
  <c r="O115"/>
  <c r="P115"/>
  <c r="R39" l="1"/>
  <c r="S39"/>
  <c r="S134"/>
  <c r="R134"/>
  <c r="P130"/>
  <c r="R131"/>
  <c r="S131"/>
  <c r="P126"/>
  <c r="R127"/>
  <c r="S127"/>
  <c r="R56"/>
  <c r="R49"/>
  <c r="S49"/>
  <c r="R45"/>
  <c r="S45"/>
  <c r="R44"/>
  <c r="S44"/>
  <c r="R43"/>
  <c r="S43"/>
  <c r="R41"/>
  <c r="S41"/>
  <c r="R29"/>
  <c r="S29"/>
  <c r="R40"/>
  <c r="S40"/>
  <c r="R28"/>
  <c r="S28"/>
  <c r="R38"/>
  <c r="S38"/>
  <c r="R35"/>
  <c r="S35"/>
  <c r="R36"/>
  <c r="S36"/>
  <c r="P135"/>
  <c r="S136"/>
  <c r="R136"/>
  <c r="S133"/>
  <c r="P128"/>
  <c r="R129"/>
  <c r="S129"/>
  <c r="S66"/>
  <c r="R55"/>
  <c r="R47"/>
  <c r="S47"/>
  <c r="R32"/>
  <c r="S32"/>
  <c r="R33"/>
  <c r="S33"/>
  <c r="R42"/>
  <c r="S42"/>
  <c r="S46"/>
  <c r="R27"/>
  <c r="S27"/>
  <c r="R31"/>
  <c r="S31"/>
  <c r="R30"/>
  <c r="S30"/>
  <c r="R37"/>
  <c r="S37"/>
  <c r="R34"/>
  <c r="S34"/>
  <c r="O132"/>
  <c r="O125" s="1"/>
  <c r="O124" s="1"/>
  <c r="P132"/>
  <c r="N132"/>
  <c r="N125" s="1"/>
  <c r="N48"/>
  <c r="O48"/>
  <c r="P48"/>
  <c r="N57"/>
  <c r="R57" s="1"/>
  <c r="N58"/>
  <c r="R58" s="1"/>
  <c r="N59"/>
  <c r="R59" s="1"/>
  <c r="N60"/>
  <c r="R60" s="1"/>
  <c r="N61"/>
  <c r="R61" s="1"/>
  <c r="N62"/>
  <c r="R62" s="1"/>
  <c r="N63"/>
  <c r="R63" s="1"/>
  <c r="N64"/>
  <c r="R64" s="1"/>
  <c r="N65"/>
  <c r="R65" s="1"/>
  <c r="O54"/>
  <c r="N77"/>
  <c r="O77"/>
  <c r="P77"/>
  <c r="N73"/>
  <c r="O73"/>
  <c r="P73"/>
  <c r="N71"/>
  <c r="O71"/>
  <c r="P71"/>
  <c r="N72"/>
  <c r="O72"/>
  <c r="P72"/>
  <c r="N75"/>
  <c r="O75"/>
  <c r="P75"/>
  <c r="N76"/>
  <c r="O76"/>
  <c r="P76"/>
  <c r="N74"/>
  <c r="O74"/>
  <c r="P74"/>
  <c r="N79"/>
  <c r="O79"/>
  <c r="P79"/>
  <c r="N80"/>
  <c r="O80"/>
  <c r="P80"/>
  <c r="N82"/>
  <c r="N81" s="1"/>
  <c r="O82"/>
  <c r="O81" s="1"/>
  <c r="P82"/>
  <c r="N85"/>
  <c r="R85" s="1"/>
  <c r="N84"/>
  <c r="O84"/>
  <c r="O83" s="1"/>
  <c r="P84"/>
  <c r="N90"/>
  <c r="O90"/>
  <c r="P90"/>
  <c r="N91"/>
  <c r="O91"/>
  <c r="P91"/>
  <c r="N89"/>
  <c r="O89"/>
  <c r="P89"/>
  <c r="N93"/>
  <c r="O93"/>
  <c r="P93"/>
  <c r="N94"/>
  <c r="O94"/>
  <c r="P94"/>
  <c r="N95"/>
  <c r="O95"/>
  <c r="P95"/>
  <c r="N96"/>
  <c r="O96"/>
  <c r="P96"/>
  <c r="N100"/>
  <c r="N99" s="1"/>
  <c r="O100"/>
  <c r="O99" s="1"/>
  <c r="P100"/>
  <c r="N102"/>
  <c r="N101" s="1"/>
  <c r="O102"/>
  <c r="O101" s="1"/>
  <c r="P102"/>
  <c r="N104"/>
  <c r="N103" s="1"/>
  <c r="O104"/>
  <c r="O103" s="1"/>
  <c r="P104"/>
  <c r="N106"/>
  <c r="N105" s="1"/>
  <c r="O106"/>
  <c r="O105" s="1"/>
  <c r="P106"/>
  <c r="N108"/>
  <c r="O108"/>
  <c r="P108"/>
  <c r="N109"/>
  <c r="O109"/>
  <c r="P109"/>
  <c r="N112"/>
  <c r="O112"/>
  <c r="P112"/>
  <c r="N110"/>
  <c r="O110"/>
  <c r="P110"/>
  <c r="N111"/>
  <c r="O111"/>
  <c r="P111"/>
  <c r="N114"/>
  <c r="N113" s="1"/>
  <c r="O114"/>
  <c r="O113" s="1"/>
  <c r="P114"/>
  <c r="N116"/>
  <c r="N118"/>
  <c r="N117" s="1"/>
  <c r="O118"/>
  <c r="O117" s="1"/>
  <c r="P118"/>
  <c r="N120"/>
  <c r="O120"/>
  <c r="P120"/>
  <c r="N121"/>
  <c r="O121"/>
  <c r="P121"/>
  <c r="N123"/>
  <c r="N122" s="1"/>
  <c r="O123"/>
  <c r="O122" s="1"/>
  <c r="P123"/>
  <c r="S121" l="1"/>
  <c r="P117"/>
  <c r="R118"/>
  <c r="S118"/>
  <c r="P113"/>
  <c r="R114"/>
  <c r="S114"/>
  <c r="Q110"/>
  <c r="S110"/>
  <c r="R109"/>
  <c r="S109"/>
  <c r="P105"/>
  <c r="R106"/>
  <c r="S106"/>
  <c r="P101"/>
  <c r="R102"/>
  <c r="S102"/>
  <c r="R96"/>
  <c r="S96"/>
  <c r="R94"/>
  <c r="S94"/>
  <c r="R89"/>
  <c r="S89"/>
  <c r="R90"/>
  <c r="S90"/>
  <c r="R80"/>
  <c r="S80"/>
  <c r="R74"/>
  <c r="S74"/>
  <c r="R75"/>
  <c r="S75"/>
  <c r="R71"/>
  <c r="S71"/>
  <c r="R77"/>
  <c r="S77"/>
  <c r="S135"/>
  <c r="R135"/>
  <c r="R130"/>
  <c r="S130"/>
  <c r="P122"/>
  <c r="R123"/>
  <c r="S123"/>
  <c r="R120"/>
  <c r="S120"/>
  <c r="N115"/>
  <c r="R115" s="1"/>
  <c r="R116"/>
  <c r="Q111"/>
  <c r="S111"/>
  <c r="Q112"/>
  <c r="S112"/>
  <c r="R108"/>
  <c r="S108"/>
  <c r="P103"/>
  <c r="R104"/>
  <c r="S104"/>
  <c r="P99"/>
  <c r="R100"/>
  <c r="S100"/>
  <c r="R95"/>
  <c r="S95"/>
  <c r="R93"/>
  <c r="S93"/>
  <c r="R91"/>
  <c r="S91"/>
  <c r="P83"/>
  <c r="R84"/>
  <c r="S84"/>
  <c r="P81"/>
  <c r="R82"/>
  <c r="S82"/>
  <c r="R79"/>
  <c r="S79"/>
  <c r="R76"/>
  <c r="S76"/>
  <c r="R72"/>
  <c r="S72"/>
  <c r="R73"/>
  <c r="S73"/>
  <c r="R48"/>
  <c r="S48"/>
  <c r="P125"/>
  <c r="R132"/>
  <c r="S132"/>
  <c r="R128"/>
  <c r="S128"/>
  <c r="R126"/>
  <c r="S126"/>
  <c r="N124"/>
  <c r="P124"/>
  <c r="Q66"/>
  <c r="P54"/>
  <c r="N54"/>
  <c r="O119"/>
  <c r="P119"/>
  <c r="N119"/>
  <c r="N107"/>
  <c r="P107"/>
  <c r="O107"/>
  <c r="O92"/>
  <c r="P92"/>
  <c r="N92"/>
  <c r="N87"/>
  <c r="N86" s="1"/>
  <c r="P87"/>
  <c r="P78"/>
  <c r="N78"/>
  <c r="O87"/>
  <c r="O86" s="1"/>
  <c r="N83"/>
  <c r="O78"/>
  <c r="P70"/>
  <c r="N70"/>
  <c r="O70"/>
  <c r="M25"/>
  <c r="M24" s="1"/>
  <c r="L26"/>
  <c r="M28"/>
  <c r="M29"/>
  <c r="M31"/>
  <c r="M36"/>
  <c r="M37"/>
  <c r="M39"/>
  <c r="M41"/>
  <c r="M42"/>
  <c r="M44"/>
  <c r="L49"/>
  <c r="L48" s="1"/>
  <c r="M49"/>
  <c r="L51"/>
  <c r="L50" s="1"/>
  <c r="L53"/>
  <c r="L52" s="1"/>
  <c r="L54"/>
  <c r="L69"/>
  <c r="M69"/>
  <c r="L70"/>
  <c r="M72"/>
  <c r="M73"/>
  <c r="M75"/>
  <c r="L78"/>
  <c r="L81"/>
  <c r="M82"/>
  <c r="M81" s="1"/>
  <c r="L83"/>
  <c r="M85"/>
  <c r="Q85" s="1"/>
  <c r="M86"/>
  <c r="L87"/>
  <c r="M89"/>
  <c r="M90"/>
  <c r="L92"/>
  <c r="L99"/>
  <c r="M100"/>
  <c r="M99" s="1"/>
  <c r="L101"/>
  <c r="M102"/>
  <c r="M101" s="1"/>
  <c r="L103"/>
  <c r="M104"/>
  <c r="L105"/>
  <c r="L107"/>
  <c r="M108"/>
  <c r="Q108" s="1"/>
  <c r="L113"/>
  <c r="M114"/>
  <c r="Q114" s="1"/>
  <c r="L117"/>
  <c r="M118"/>
  <c r="L119"/>
  <c r="M120"/>
  <c r="Q120" s="1"/>
  <c r="L122"/>
  <c r="M123"/>
  <c r="M122" s="1"/>
  <c r="M125"/>
  <c r="M124" s="1"/>
  <c r="L126"/>
  <c r="M127"/>
  <c r="Q127" s="1"/>
  <c r="Q126" s="1"/>
  <c r="L128"/>
  <c r="M129"/>
  <c r="L130"/>
  <c r="M131"/>
  <c r="M134"/>
  <c r="L135"/>
  <c r="M136"/>
  <c r="Q96"/>
  <c r="Q95"/>
  <c r="Q94"/>
  <c r="Q93"/>
  <c r="Q88"/>
  <c r="Q84"/>
  <c r="P69"/>
  <c r="P51"/>
  <c r="P23" l="1"/>
  <c r="P50"/>
  <c r="S51"/>
  <c r="R51"/>
  <c r="Q113"/>
  <c r="R70"/>
  <c r="S70"/>
  <c r="P86"/>
  <c r="R87"/>
  <c r="S87"/>
  <c r="R107"/>
  <c r="S107"/>
  <c r="Q54"/>
  <c r="R54"/>
  <c r="S54"/>
  <c r="R124"/>
  <c r="S124"/>
  <c r="R125"/>
  <c r="S125"/>
  <c r="R83"/>
  <c r="S83"/>
  <c r="R103"/>
  <c r="S103"/>
  <c r="R101"/>
  <c r="S101"/>
  <c r="R117"/>
  <c r="S117"/>
  <c r="R78"/>
  <c r="S78"/>
  <c r="R92"/>
  <c r="S92"/>
  <c r="R119"/>
  <c r="S119"/>
  <c r="R81"/>
  <c r="S81"/>
  <c r="R99"/>
  <c r="S99"/>
  <c r="R122"/>
  <c r="S122"/>
  <c r="R105"/>
  <c r="S105"/>
  <c r="R113"/>
  <c r="S113"/>
  <c r="O98"/>
  <c r="O97" s="1"/>
  <c r="N98"/>
  <c r="N97" s="1"/>
  <c r="P98"/>
  <c r="O68"/>
  <c r="O67" s="1"/>
  <c r="P68"/>
  <c r="N68"/>
  <c r="N67" s="1"/>
  <c r="Q83"/>
  <c r="Q105"/>
  <c r="L132"/>
  <c r="Q132" s="1"/>
  <c r="Q99"/>
  <c r="Q45"/>
  <c r="Q46"/>
  <c r="Q47"/>
  <c r="Q32"/>
  <c r="Q43"/>
  <c r="Q33"/>
  <c r="Q27"/>
  <c r="M23"/>
  <c r="L86"/>
  <c r="Q86" s="1"/>
  <c r="L68"/>
  <c r="L98"/>
  <c r="L97" s="1"/>
  <c r="M68"/>
  <c r="M67" s="1"/>
  <c r="L23"/>
  <c r="L67"/>
  <c r="L25"/>
  <c r="M98"/>
  <c r="Q31"/>
  <c r="Q90"/>
  <c r="Q91"/>
  <c r="Q44"/>
  <c r="Q53"/>
  <c r="Q29"/>
  <c r="Q30"/>
  <c r="Q34"/>
  <c r="Q36"/>
  <c r="Q38"/>
  <c r="Q41"/>
  <c r="Q49"/>
  <c r="Q69"/>
  <c r="Q70"/>
  <c r="Q74"/>
  <c r="Q75"/>
  <c r="Q77"/>
  <c r="Q78"/>
  <c r="Q79"/>
  <c r="Q81"/>
  <c r="Q87"/>
  <c r="Q89"/>
  <c r="Q92"/>
  <c r="Q103"/>
  <c r="Q104"/>
  <c r="Q106"/>
  <c r="Q123"/>
  <c r="Q128"/>
  <c r="Q130"/>
  <c r="Q133"/>
  <c r="Q134"/>
  <c r="Q129"/>
  <c r="Q131"/>
  <c r="Q28"/>
  <c r="Q40"/>
  <c r="Q35"/>
  <c r="Q37"/>
  <c r="Q39"/>
  <c r="Q42"/>
  <c r="Q52"/>
  <c r="Q55"/>
  <c r="Q56"/>
  <c r="Q57"/>
  <c r="Q58"/>
  <c r="Q59"/>
  <c r="Q60"/>
  <c r="Q61"/>
  <c r="Q62"/>
  <c r="Q63"/>
  <c r="Q64"/>
  <c r="Q65"/>
  <c r="Q71"/>
  <c r="Q72"/>
  <c r="Q73"/>
  <c r="Q76"/>
  <c r="Q80"/>
  <c r="Q82"/>
  <c r="Q100"/>
  <c r="Q102"/>
  <c r="Q101" s="1"/>
  <c r="Q109"/>
  <c r="Q107" s="1"/>
  <c r="Q118"/>
  <c r="Q117" s="1"/>
  <c r="Q119"/>
  <c r="S50" l="1"/>
  <c r="R50"/>
  <c r="P67"/>
  <c r="R68"/>
  <c r="S68"/>
  <c r="P97"/>
  <c r="R98"/>
  <c r="S98"/>
  <c r="R86"/>
  <c r="S86"/>
  <c r="Q125"/>
  <c r="L125"/>
  <c r="L124" s="1"/>
  <c r="Q124" s="1"/>
  <c r="O26"/>
  <c r="O25" s="1"/>
  <c r="N26"/>
  <c r="P26"/>
  <c r="M22"/>
  <c r="M21" s="1"/>
  <c r="L24"/>
  <c r="L22"/>
  <c r="L21" s="1"/>
  <c r="Q23"/>
  <c r="M97"/>
  <c r="Q68"/>
  <c r="Q67" s="1"/>
  <c r="Q48"/>
  <c r="Q122"/>
  <c r="R67" l="1"/>
  <c r="S67"/>
  <c r="R26"/>
  <c r="S26"/>
  <c r="R97"/>
  <c r="S97"/>
  <c r="O24"/>
  <c r="O22"/>
  <c r="O21" s="1"/>
  <c r="N25"/>
  <c r="N22" s="1"/>
  <c r="N21" s="1"/>
  <c r="P25"/>
  <c r="Q26"/>
  <c r="Q25" s="1"/>
  <c r="Q24" s="1"/>
  <c r="Q51"/>
  <c r="Q98"/>
  <c r="Q97"/>
  <c r="P22" l="1"/>
  <c r="R25"/>
  <c r="S25"/>
  <c r="N24"/>
  <c r="P24"/>
  <c r="Q50"/>
  <c r="P21" l="1"/>
  <c r="R22"/>
  <c r="S22"/>
  <c r="R24"/>
  <c r="S24"/>
  <c r="Q22"/>
  <c r="Q21" l="1"/>
  <c r="S21"/>
  <c r="R21"/>
  <c r="I36" i="12"/>
  <c r="I34"/>
  <c r="I35"/>
  <c r="AK80" i="8" l="1"/>
  <c r="AK102"/>
  <c r="AH81" l="1"/>
  <c r="AI81"/>
  <c r="AJ81"/>
  <c r="AG81"/>
  <c r="M129"/>
  <c r="AK129"/>
  <c r="AK224"/>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2"/>
  <c r="AK83"/>
  <c r="AK84"/>
  <c r="AK85"/>
  <c r="AK86"/>
  <c r="AK87"/>
  <c r="AK88"/>
  <c r="AK89"/>
  <c r="AK90"/>
  <c r="AK91"/>
  <c r="AK92"/>
  <c r="AK93"/>
  <c r="AK94"/>
  <c r="AK95"/>
  <c r="AK96"/>
  <c r="AK97"/>
  <c r="AK98"/>
  <c r="AK99"/>
  <c r="AK100"/>
  <c r="AK101"/>
  <c r="AK103"/>
  <c r="AK104"/>
  <c r="AK105"/>
  <c r="AK106"/>
  <c r="AK107"/>
  <c r="AK108"/>
  <c r="AK109"/>
  <c r="AK110"/>
  <c r="AK111"/>
  <c r="AK112"/>
  <c r="AK113"/>
  <c r="AK114"/>
  <c r="AK115"/>
  <c r="AK116"/>
  <c r="AK117"/>
  <c r="AK118"/>
  <c r="AK119"/>
  <c r="AK120"/>
  <c r="AK121"/>
  <c r="AK122"/>
  <c r="AK123"/>
  <c r="AK124"/>
  <c r="AK125"/>
  <c r="AK126"/>
  <c r="AK127"/>
  <c r="AK128"/>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K198"/>
  <c r="AK199"/>
  <c r="AK200"/>
  <c r="AK201"/>
  <c r="AK202"/>
  <c r="AK203"/>
  <c r="AK204"/>
  <c r="AK205"/>
  <c r="AK206"/>
  <c r="AK207"/>
  <c r="AK208"/>
  <c r="AK209"/>
  <c r="AK210"/>
  <c r="AK211"/>
  <c r="AK212"/>
  <c r="AK213"/>
  <c r="AK214"/>
  <c r="AK215"/>
  <c r="AK216"/>
  <c r="AK217"/>
  <c r="AK218"/>
  <c r="AK219"/>
  <c r="AK220"/>
  <c r="AK221"/>
  <c r="AK222"/>
  <c r="AK223"/>
  <c r="AK225"/>
  <c r="AK226"/>
  <c r="AK227"/>
  <c r="AK228"/>
  <c r="AK229"/>
  <c r="AK230"/>
  <c r="AK231"/>
  <c r="AK232"/>
  <c r="AK233"/>
  <c r="AK234"/>
  <c r="AK28"/>
  <c r="AK81" l="1"/>
  <c r="AH224"/>
  <c r="AI224"/>
  <c r="AJ224"/>
  <c r="AH129"/>
  <c r="AI129"/>
  <c r="AJ129"/>
  <c r="AH27"/>
  <c r="AH19" s="1"/>
  <c r="AI27"/>
  <c r="AI19" s="1"/>
  <c r="AJ27"/>
  <c r="AJ19" s="1"/>
  <c r="AK27"/>
  <c r="AK19" s="1"/>
  <c r="AH80"/>
  <c r="AI80"/>
  <c r="AJ80"/>
  <c r="AG224"/>
  <c r="AG129"/>
  <c r="AG80"/>
  <c r="AG27"/>
  <c r="AG19" s="1"/>
  <c r="O239"/>
  <c r="P239" s="1"/>
  <c r="L239"/>
  <c r="O238"/>
  <c r="P238" s="1"/>
  <c r="Q238" s="1"/>
  <c r="Q237"/>
  <c r="P237"/>
  <c r="O237"/>
  <c r="Q236"/>
  <c r="P236"/>
  <c r="O236"/>
  <c r="P235"/>
  <c r="Q235" s="1"/>
  <c r="Q234" s="1"/>
  <c r="O235"/>
  <c r="O234" s="1"/>
  <c r="M235"/>
  <c r="M234" s="1"/>
  <c r="P234"/>
  <c r="N234"/>
  <c r="L234"/>
  <c r="Q233"/>
  <c r="P233"/>
  <c r="O233"/>
  <c r="M233"/>
  <c r="M231" s="1"/>
  <c r="Q232"/>
  <c r="P232"/>
  <c r="N231"/>
  <c r="L231"/>
  <c r="N230"/>
  <c r="O230" s="1"/>
  <c r="M230"/>
  <c r="M229" s="1"/>
  <c r="L229"/>
  <c r="Q228"/>
  <c r="Q227" s="1"/>
  <c r="P228"/>
  <c r="P227" s="1"/>
  <c r="O228"/>
  <c r="O227" s="1"/>
  <c r="N228"/>
  <c r="M228"/>
  <c r="M227" s="1"/>
  <c r="N227"/>
  <c r="L227"/>
  <c r="P226"/>
  <c r="Q226" s="1"/>
  <c r="O226"/>
  <c r="O225" s="1"/>
  <c r="M226"/>
  <c r="M225" s="1"/>
  <c r="N225"/>
  <c r="L225"/>
  <c r="L224" s="1"/>
  <c r="L223" s="1"/>
  <c r="S223" s="1"/>
  <c r="Q222"/>
  <c r="Q221"/>
  <c r="Q220"/>
  <c r="Q219"/>
  <c r="Q218"/>
  <c r="L218"/>
  <c r="L219" s="1"/>
  <c r="Q217"/>
  <c r="Q216"/>
  <c r="Q215"/>
  <c r="Q214"/>
  <c r="Q213"/>
  <c r="Q212"/>
  <c r="Q211"/>
  <c r="Q210"/>
  <c r="Q209"/>
  <c r="Q208"/>
  <c r="Q207"/>
  <c r="Q206"/>
  <c r="Q205"/>
  <c r="Q204"/>
  <c r="Q203"/>
  <c r="Q202"/>
  <c r="L202"/>
  <c r="Q201"/>
  <c r="Q200"/>
  <c r="Q199"/>
  <c r="Q198"/>
  <c r="Q197"/>
  <c r="Q196"/>
  <c r="Q195"/>
  <c r="Q194"/>
  <c r="Q193"/>
  <c r="Q192"/>
  <c r="Q191"/>
  <c r="Q190"/>
  <c r="Q189"/>
  <c r="Q188"/>
  <c r="Q187"/>
  <c r="Q186"/>
  <c r="Q185"/>
  <c r="P184"/>
  <c r="Q184" s="1"/>
  <c r="O184"/>
  <c r="L184"/>
  <c r="P183"/>
  <c r="Q183" s="1"/>
  <c r="O183"/>
  <c r="O182"/>
  <c r="P182" s="1"/>
  <c r="Q182" s="1"/>
  <c r="Q181"/>
  <c r="P181"/>
  <c r="O181"/>
  <c r="Q180"/>
  <c r="P180"/>
  <c r="O180"/>
  <c r="R179"/>
  <c r="P179"/>
  <c r="Q179" s="1"/>
  <c r="U179" s="1"/>
  <c r="O179"/>
  <c r="S179" s="1"/>
  <c r="O178"/>
  <c r="P178" s="1"/>
  <c r="Q177"/>
  <c r="P177"/>
  <c r="O177"/>
  <c r="R176"/>
  <c r="Q176"/>
  <c r="P176"/>
  <c r="T176" s="1"/>
  <c r="O176"/>
  <c r="S176" s="1"/>
  <c r="N175"/>
  <c r="M175"/>
  <c r="L175"/>
  <c r="Q174"/>
  <c r="P174"/>
  <c r="O174"/>
  <c r="Q173"/>
  <c r="Q172" s="1"/>
  <c r="P173"/>
  <c r="O173"/>
  <c r="P172"/>
  <c r="O172"/>
  <c r="S180" s="1"/>
  <c r="N172"/>
  <c r="R180" s="1"/>
  <c r="M172"/>
  <c r="L172"/>
  <c r="Q171"/>
  <c r="P171"/>
  <c r="O171"/>
  <c r="M171"/>
  <c r="M170" s="1"/>
  <c r="Q170"/>
  <c r="P170"/>
  <c r="O170"/>
  <c r="N170"/>
  <c r="N129" s="1"/>
  <c r="N128" s="1"/>
  <c r="L170"/>
  <c r="P169"/>
  <c r="Q169" s="1"/>
  <c r="Q167" s="1"/>
  <c r="O169"/>
  <c r="O167" s="1"/>
  <c r="M169"/>
  <c r="L168"/>
  <c r="N167"/>
  <c r="M167"/>
  <c r="L167"/>
  <c r="O166"/>
  <c r="P166" s="1"/>
  <c r="M166"/>
  <c r="M165" s="1"/>
  <c r="O165"/>
  <c r="N165"/>
  <c r="L165"/>
  <c r="M163"/>
  <c r="M135" s="1"/>
  <c r="Q162"/>
  <c r="Q150" s="1"/>
  <c r="M160"/>
  <c r="M133" s="1"/>
  <c r="M24" s="1"/>
  <c r="M158"/>
  <c r="M156"/>
  <c r="M131" s="1"/>
  <c r="M23" s="1"/>
  <c r="M152"/>
  <c r="M130" s="1"/>
  <c r="P150"/>
  <c r="O150"/>
  <c r="N150"/>
  <c r="L150"/>
  <c r="P149"/>
  <c r="Q149" s="1"/>
  <c r="Q148" s="1"/>
  <c r="O149"/>
  <c r="M149"/>
  <c r="M148" s="1"/>
  <c r="O148"/>
  <c r="N148"/>
  <c r="L148"/>
  <c r="Q147"/>
  <c r="P147"/>
  <c r="O147"/>
  <c r="Q146"/>
  <c r="P146"/>
  <c r="P145" s="1"/>
  <c r="O146"/>
  <c r="M146"/>
  <c r="Q145"/>
  <c r="O145"/>
  <c r="N145"/>
  <c r="M145"/>
  <c r="L145"/>
  <c r="O144"/>
  <c r="P144" s="1"/>
  <c r="Q143"/>
  <c r="O142"/>
  <c r="N142"/>
  <c r="M142"/>
  <c r="L142"/>
  <c r="Q141"/>
  <c r="P141"/>
  <c r="O141"/>
  <c r="M141"/>
  <c r="S140"/>
  <c r="M140"/>
  <c r="L140"/>
  <c r="P139"/>
  <c r="Q139" s="1"/>
  <c r="O139"/>
  <c r="M139"/>
  <c r="M138" s="1"/>
  <c r="R138" s="1"/>
  <c r="U138"/>
  <c r="T138"/>
  <c r="S138"/>
  <c r="L138"/>
  <c r="Q137"/>
  <c r="P137"/>
  <c r="O137"/>
  <c r="M137"/>
  <c r="M136" s="1"/>
  <c r="L136"/>
  <c r="L129" s="1"/>
  <c r="Q134"/>
  <c r="P134"/>
  <c r="O134"/>
  <c r="N134"/>
  <c r="M134"/>
  <c r="M22" s="1"/>
  <c r="L134"/>
  <c r="Q133"/>
  <c r="L133"/>
  <c r="L24" s="1"/>
  <c r="Q132"/>
  <c r="M132"/>
  <c r="L132"/>
  <c r="Q131"/>
  <c r="L131"/>
  <c r="P130"/>
  <c r="Q130" s="1"/>
  <c r="O130"/>
  <c r="N130"/>
  <c r="L130"/>
  <c r="O127"/>
  <c r="P127" s="1"/>
  <c r="Q127" s="1"/>
  <c r="Q126"/>
  <c r="P126"/>
  <c r="O126"/>
  <c r="Q125"/>
  <c r="P125"/>
  <c r="O125"/>
  <c r="P124"/>
  <c r="Q124" s="1"/>
  <c r="Q123" s="1"/>
  <c r="O124"/>
  <c r="O123"/>
  <c r="N123"/>
  <c r="M123"/>
  <c r="L123"/>
  <c r="Q122"/>
  <c r="P122"/>
  <c r="O122"/>
  <c r="P121"/>
  <c r="Q121" s="1"/>
  <c r="O121"/>
  <c r="O120"/>
  <c r="P120" s="1"/>
  <c r="Q119"/>
  <c r="P119"/>
  <c r="O119"/>
  <c r="Q118"/>
  <c r="P118"/>
  <c r="O118"/>
  <c r="N117"/>
  <c r="M117"/>
  <c r="L117"/>
  <c r="Q116"/>
  <c r="P116"/>
  <c r="O116"/>
  <c r="Q115"/>
  <c r="Q114" s="1"/>
  <c r="P115"/>
  <c r="O115"/>
  <c r="P114"/>
  <c r="O114"/>
  <c r="N114"/>
  <c r="M114"/>
  <c r="L114"/>
  <c r="Q113"/>
  <c r="P113"/>
  <c r="O113"/>
  <c r="Q112"/>
  <c r="P112"/>
  <c r="O112"/>
  <c r="P111"/>
  <c r="Q111" s="1"/>
  <c r="O111"/>
  <c r="O110"/>
  <c r="P110" s="1"/>
  <c r="Q109"/>
  <c r="P109"/>
  <c r="O109"/>
  <c r="N108"/>
  <c r="M108"/>
  <c r="L108"/>
  <c r="O107"/>
  <c r="P107" s="1"/>
  <c r="Q107" s="1"/>
  <c r="N107"/>
  <c r="O106"/>
  <c r="P106" s="1"/>
  <c r="Q106" s="1"/>
  <c r="N106"/>
  <c r="M106"/>
  <c r="P105"/>
  <c r="Q105" s="1"/>
  <c r="O105"/>
  <c r="O102" s="1"/>
  <c r="N105"/>
  <c r="N102" s="1"/>
  <c r="M105"/>
  <c r="L104"/>
  <c r="L82" s="1"/>
  <c r="L21" s="1"/>
  <c r="Q103"/>
  <c r="P103"/>
  <c r="O103"/>
  <c r="M102"/>
  <c r="L102"/>
  <c r="O101"/>
  <c r="P101" s="1"/>
  <c r="Q101" s="1"/>
  <c r="M101"/>
  <c r="O100"/>
  <c r="P100" s="1"/>
  <c r="N99"/>
  <c r="M99"/>
  <c r="L99"/>
  <c r="P98"/>
  <c r="Q98" s="1"/>
  <c r="Q97" s="1"/>
  <c r="O98"/>
  <c r="M98"/>
  <c r="M97" s="1"/>
  <c r="P97"/>
  <c r="O97"/>
  <c r="N97"/>
  <c r="L97"/>
  <c r="Q96"/>
  <c r="P96"/>
  <c r="O96"/>
  <c r="Q95"/>
  <c r="Q94" s="1"/>
  <c r="P95"/>
  <c r="O95"/>
  <c r="P94"/>
  <c r="O94"/>
  <c r="N94"/>
  <c r="M94"/>
  <c r="L94"/>
  <c r="Q93"/>
  <c r="P93"/>
  <c r="O93"/>
  <c r="Q92"/>
  <c r="P92"/>
  <c r="O92"/>
  <c r="P91"/>
  <c r="Q91" s="1"/>
  <c r="O91"/>
  <c r="M91"/>
  <c r="P90"/>
  <c r="Q90" s="1"/>
  <c r="O90"/>
  <c r="O89"/>
  <c r="P89" s="1"/>
  <c r="Q89" s="1"/>
  <c r="N88"/>
  <c r="O88" s="1"/>
  <c r="P88" s="1"/>
  <c r="Q88" s="1"/>
  <c r="M88"/>
  <c r="O87"/>
  <c r="P87" s="1"/>
  <c r="Q87" s="1"/>
  <c r="N87"/>
  <c r="N83" s="1"/>
  <c r="O86"/>
  <c r="P86" s="1"/>
  <c r="Q86" s="1"/>
  <c r="M86"/>
  <c r="O85"/>
  <c r="P85" s="1"/>
  <c r="M85"/>
  <c r="M83" s="1"/>
  <c r="Q84"/>
  <c r="L83"/>
  <c r="L80" s="1"/>
  <c r="Q82"/>
  <c r="Q21" s="1"/>
  <c r="P82"/>
  <c r="O82"/>
  <c r="N82"/>
  <c r="N21" s="1"/>
  <c r="M82"/>
  <c r="M21" s="1"/>
  <c r="P81"/>
  <c r="Q81" s="1"/>
  <c r="Q20" s="1"/>
  <c r="O81"/>
  <c r="O20" s="1"/>
  <c r="N81"/>
  <c r="M81"/>
  <c r="L81"/>
  <c r="L20" s="1"/>
  <c r="P78"/>
  <c r="Q78" s="1"/>
  <c r="O78"/>
  <c r="L78"/>
  <c r="P77"/>
  <c r="Q77" s="1"/>
  <c r="O77"/>
  <c r="O76"/>
  <c r="P76" s="1"/>
  <c r="Q76" s="1"/>
  <c r="Q75"/>
  <c r="P75"/>
  <c r="O75"/>
  <c r="Q74"/>
  <c r="P74"/>
  <c r="O74"/>
  <c r="P73"/>
  <c r="Q73" s="1"/>
  <c r="O73"/>
  <c r="N73"/>
  <c r="P72"/>
  <c r="Q72" s="1"/>
  <c r="O72"/>
  <c r="O71"/>
  <c r="P71" s="1"/>
  <c r="Q71" s="1"/>
  <c r="Q70"/>
  <c r="P70"/>
  <c r="O70"/>
  <c r="Q69"/>
  <c r="P69"/>
  <c r="O69"/>
  <c r="P68"/>
  <c r="Q68" s="1"/>
  <c r="O68"/>
  <c r="L67"/>
  <c r="L66"/>
  <c r="Q65"/>
  <c r="P65"/>
  <c r="O65"/>
  <c r="P64"/>
  <c r="Q64" s="1"/>
  <c r="O64"/>
  <c r="O63"/>
  <c r="P63" s="1"/>
  <c r="Q63" s="1"/>
  <c r="Q62"/>
  <c r="P62"/>
  <c r="O62"/>
  <c r="Q61"/>
  <c r="P61"/>
  <c r="O61"/>
  <c r="P60"/>
  <c r="Q60" s="1"/>
  <c r="O60"/>
  <c r="O59"/>
  <c r="P59" s="1"/>
  <c r="Q59" s="1"/>
  <c r="Q58"/>
  <c r="P58"/>
  <c r="O58"/>
  <c r="Q57"/>
  <c r="P57"/>
  <c r="O57"/>
  <c r="P56"/>
  <c r="Q56" s="1"/>
  <c r="O56"/>
  <c r="O55"/>
  <c r="P55" s="1"/>
  <c r="N54"/>
  <c r="L54"/>
  <c r="O53"/>
  <c r="P53" s="1"/>
  <c r="Q53" s="1"/>
  <c r="N53"/>
  <c r="L53"/>
  <c r="L52" s="1"/>
  <c r="O51"/>
  <c r="O50" s="1"/>
  <c r="N51"/>
  <c r="L51"/>
  <c r="L50" s="1"/>
  <c r="N50"/>
  <c r="M50"/>
  <c r="M27" s="1"/>
  <c r="M26" s="1"/>
  <c r="P49"/>
  <c r="Q49" s="1"/>
  <c r="Q48" s="1"/>
  <c r="O49"/>
  <c r="O48" s="1"/>
  <c r="M49"/>
  <c r="L49"/>
  <c r="N48"/>
  <c r="M48"/>
  <c r="L48"/>
  <c r="O47"/>
  <c r="P47" s="1"/>
  <c r="Q47" s="1"/>
  <c r="Q46"/>
  <c r="P46"/>
  <c r="O46"/>
  <c r="M46"/>
  <c r="Q45"/>
  <c r="P45"/>
  <c r="O45"/>
  <c r="Q44"/>
  <c r="P44"/>
  <c r="O44"/>
  <c r="M44"/>
  <c r="Q43"/>
  <c r="P43"/>
  <c r="O43"/>
  <c r="M43"/>
  <c r="Q42"/>
  <c r="P42"/>
  <c r="O42"/>
  <c r="P41"/>
  <c r="Q41" s="1"/>
  <c r="O41"/>
  <c r="M41"/>
  <c r="P40"/>
  <c r="Q40" s="1"/>
  <c r="O40"/>
  <c r="O39"/>
  <c r="P39" s="1"/>
  <c r="Q39" s="1"/>
  <c r="M39"/>
  <c r="O38"/>
  <c r="M38"/>
  <c r="O37"/>
  <c r="P37" s="1"/>
  <c r="Q37" s="1"/>
  <c r="Q36"/>
  <c r="P36"/>
  <c r="O36"/>
  <c r="Q35"/>
  <c r="P35"/>
  <c r="O35"/>
  <c r="P34"/>
  <c r="Q34" s="1"/>
  <c r="O34"/>
  <c r="N34"/>
  <c r="P33"/>
  <c r="Q33" s="1"/>
  <c r="O33"/>
  <c r="M33"/>
  <c r="P32"/>
  <c r="Q32" s="1"/>
  <c r="O32"/>
  <c r="O31"/>
  <c r="P31" s="1"/>
  <c r="Q31" s="1"/>
  <c r="M31"/>
  <c r="O30"/>
  <c r="P30" s="1"/>
  <c r="Q30" s="1"/>
  <c r="M30"/>
  <c r="O29"/>
  <c r="P29" s="1"/>
  <c r="Q29" s="1"/>
  <c r="N28"/>
  <c r="L28"/>
  <c r="M25"/>
  <c r="L23"/>
  <c r="Q22"/>
  <c r="P22"/>
  <c r="O22"/>
  <c r="N22"/>
  <c r="L22"/>
  <c r="P21"/>
  <c r="O21"/>
  <c r="N20"/>
  <c r="M20"/>
  <c r="L27" l="1"/>
  <c r="P51"/>
  <c r="N27"/>
  <c r="N26" s="1"/>
  <c r="L26"/>
  <c r="L19"/>
  <c r="S80"/>
  <c r="L79"/>
  <c r="S79" s="1"/>
  <c r="P117"/>
  <c r="Q120"/>
  <c r="Q117" s="1"/>
  <c r="S129"/>
  <c r="L128"/>
  <c r="P142"/>
  <c r="Q144"/>
  <c r="Q239"/>
  <c r="P231"/>
  <c r="P83"/>
  <c r="Q85"/>
  <c r="Q100"/>
  <c r="Q99" s="1"/>
  <c r="P99"/>
  <c r="P108"/>
  <c r="Q110"/>
  <c r="Q108" s="1"/>
  <c r="Q178"/>
  <c r="P175"/>
  <c r="Q55"/>
  <c r="Q54" s="1"/>
  <c r="P54"/>
  <c r="O27"/>
  <c r="Q102"/>
  <c r="Q142"/>
  <c r="O129"/>
  <c r="O128" s="1"/>
  <c r="M80"/>
  <c r="N80"/>
  <c r="N79" s="1"/>
  <c r="T180"/>
  <c r="Q175"/>
  <c r="P165"/>
  <c r="Q166"/>
  <c r="Q165" s="1"/>
  <c r="U175"/>
  <c r="U180"/>
  <c r="O229"/>
  <c r="P230"/>
  <c r="Q83"/>
  <c r="M128"/>
  <c r="M224"/>
  <c r="M223" s="1"/>
  <c r="Q231"/>
  <c r="T175"/>
  <c r="U176"/>
  <c r="P48"/>
  <c r="O83"/>
  <c r="P167"/>
  <c r="S175"/>
  <c r="P20"/>
  <c r="O108"/>
  <c r="R175"/>
  <c r="P148"/>
  <c r="T179"/>
  <c r="P225"/>
  <c r="P102"/>
  <c r="O117"/>
  <c r="O175"/>
  <c r="N229"/>
  <c r="N224" s="1"/>
  <c r="N223" s="1"/>
  <c r="O231"/>
  <c r="O224" s="1"/>
  <c r="O223" s="1"/>
  <c r="P38"/>
  <c r="O54"/>
  <c r="O99"/>
  <c r="P123"/>
  <c r="O26" i="4"/>
  <c r="M48"/>
  <c r="M231"/>
  <c r="M229"/>
  <c r="M226"/>
  <c r="M224"/>
  <c r="M222"/>
  <c r="M167"/>
  <c r="M165"/>
  <c r="M162"/>
  <c r="M147"/>
  <c r="M144"/>
  <c r="P50" i="8" l="1"/>
  <c r="P27" s="1"/>
  <c r="Q51"/>
  <c r="Q50" s="1"/>
  <c r="Q38"/>
  <c r="Q28" s="1"/>
  <c r="M19"/>
  <c r="M79"/>
  <c r="O19"/>
  <c r="O18" s="1"/>
  <c r="O26"/>
  <c r="S19"/>
  <c r="L18"/>
  <c r="Q80"/>
  <c r="N19"/>
  <c r="N18" s="1"/>
  <c r="P80"/>
  <c r="P79" s="1"/>
  <c r="Q79" s="1"/>
  <c r="P129"/>
  <c r="P128" s="1"/>
  <c r="Q128" s="1"/>
  <c r="Q225"/>
  <c r="P229"/>
  <c r="P224" s="1"/>
  <c r="P223" s="1"/>
  <c r="Q230"/>
  <c r="Q229" s="1"/>
  <c r="O80"/>
  <c r="O79" s="1"/>
  <c r="Q129"/>
  <c r="M139" i="4"/>
  <c r="M137"/>
  <c r="M135"/>
  <c r="M97"/>
  <c r="M104"/>
  <c r="M105"/>
  <c r="M98"/>
  <c r="M100"/>
  <c r="M18" i="8" l="1"/>
  <c r="AL19" s="1"/>
  <c r="AL21" s="1"/>
  <c r="AL16"/>
  <c r="Q27"/>
  <c r="P26"/>
  <c r="P19"/>
  <c r="P18" s="1"/>
  <c r="Q26"/>
  <c r="Q19"/>
  <c r="Q18" s="1"/>
  <c r="Q224"/>
  <c r="Q223" s="1"/>
  <c r="M90" i="4"/>
  <c r="M84"/>
  <c r="M85"/>
  <c r="M42"/>
  <c r="M30"/>
  <c r="M29"/>
  <c r="M32"/>
  <c r="M38"/>
  <c r="M37"/>
  <c r="M43"/>
  <c r="M40"/>
  <c r="M45"/>
  <c r="L33" i="6" l="1"/>
  <c r="M33"/>
  <c r="N33"/>
  <c r="O33"/>
  <c r="K33"/>
  <c r="S33"/>
  <c r="R53"/>
  <c r="R52"/>
  <c r="R51"/>
  <c r="R49"/>
  <c r="R46"/>
  <c r="R45"/>
  <c r="R44"/>
  <c r="R43"/>
  <c r="R42"/>
  <c r="R41"/>
  <c r="U32"/>
  <c r="V32"/>
  <c r="W32" s="1"/>
  <c r="U34"/>
  <c r="V34" s="1"/>
  <c r="W34" s="1"/>
  <c r="U35"/>
  <c r="V35" s="1"/>
  <c r="W35" s="1"/>
  <c r="U36"/>
  <c r="V36"/>
  <c r="W36" s="1"/>
  <c r="U37"/>
  <c r="V37" s="1"/>
  <c r="W37" s="1"/>
  <c r="V31"/>
  <c r="W31"/>
  <c r="U31"/>
  <c r="U29"/>
  <c r="T32"/>
  <c r="T34"/>
  <c r="T35"/>
  <c r="T36"/>
  <c r="T37"/>
  <c r="T38"/>
  <c r="T33" s="1"/>
  <c r="T39"/>
  <c r="U39" s="1"/>
  <c r="V39" s="1"/>
  <c r="W39" s="1"/>
  <c r="T31"/>
  <c r="T29"/>
  <c r="U33" l="1"/>
  <c r="V33" s="1"/>
  <c r="W33" s="1"/>
  <c r="U38"/>
  <c r="V38" s="1"/>
  <c r="W38" s="1"/>
  <c r="S31"/>
  <c r="T26" l="1"/>
  <c r="U26"/>
  <c r="V26" s="1"/>
  <c r="W26" s="1"/>
  <c r="T27"/>
  <c r="U27"/>
  <c r="V27" s="1"/>
  <c r="W27" s="1"/>
  <c r="T28"/>
  <c r="U28"/>
  <c r="V28" s="1"/>
  <c r="W28" s="1"/>
  <c r="V29"/>
  <c r="W29" s="1"/>
  <c r="W25"/>
  <c r="V25"/>
  <c r="U25"/>
  <c r="T25"/>
  <c r="S136" i="4"/>
  <c r="T136"/>
  <c r="U136"/>
  <c r="T23" i="6"/>
  <c r="U23"/>
  <c r="V23"/>
  <c r="W23"/>
  <c r="L101" i="4" l="1"/>
  <c r="L82"/>
  <c r="N171"/>
  <c r="N168"/>
  <c r="R176" s="1"/>
  <c r="R175"/>
  <c r="R172"/>
  <c r="L164"/>
  <c r="L163" s="1"/>
  <c r="M163"/>
  <c r="N163"/>
  <c r="M227"/>
  <c r="N227"/>
  <c r="O235" l="1"/>
  <c r="P235" s="1"/>
  <c r="Q235" s="1"/>
  <c r="L235"/>
  <c r="O234"/>
  <c r="P234" s="1"/>
  <c r="Q234" s="1"/>
  <c r="O233"/>
  <c r="P233" s="1"/>
  <c r="Q233" s="1"/>
  <c r="P232"/>
  <c r="Q232" s="1"/>
  <c r="O232"/>
  <c r="O231"/>
  <c r="P231" s="1"/>
  <c r="N230"/>
  <c r="M230"/>
  <c r="L230"/>
  <c r="O229"/>
  <c r="P228"/>
  <c r="Q228" s="1"/>
  <c r="O226"/>
  <c r="P226" s="1"/>
  <c r="N226"/>
  <c r="N225" s="1"/>
  <c r="M225"/>
  <c r="L225"/>
  <c r="N224"/>
  <c r="O224" s="1"/>
  <c r="M223"/>
  <c r="L223"/>
  <c r="O222"/>
  <c r="P222" s="1"/>
  <c r="N221"/>
  <c r="M221"/>
  <c r="L221"/>
  <c r="Q218"/>
  <c r="Q217"/>
  <c r="Q216"/>
  <c r="Q215"/>
  <c r="Q214"/>
  <c r="L214"/>
  <c r="L215" s="1"/>
  <c r="Q213"/>
  <c r="Q212"/>
  <c r="Q211"/>
  <c r="Q210"/>
  <c r="Q209"/>
  <c r="Q208"/>
  <c r="Q207"/>
  <c r="Q206"/>
  <c r="Q205"/>
  <c r="Q22" s="1"/>
  <c r="Q204"/>
  <c r="Q203"/>
  <c r="Q202"/>
  <c r="Q201"/>
  <c r="Q200"/>
  <c r="Q199"/>
  <c r="Q198"/>
  <c r="L198"/>
  <c r="Q197"/>
  <c r="Q196"/>
  <c r="Q195"/>
  <c r="Q194"/>
  <c r="Q193"/>
  <c r="Q192"/>
  <c r="Q191"/>
  <c r="Q190"/>
  <c r="Q189"/>
  <c r="Q188"/>
  <c r="Q187"/>
  <c r="Q186"/>
  <c r="Q185"/>
  <c r="Q184"/>
  <c r="Q183"/>
  <c r="Q182"/>
  <c r="Q181"/>
  <c r="O180"/>
  <c r="L180"/>
  <c r="O179"/>
  <c r="P179" s="1"/>
  <c r="Q179" s="1"/>
  <c r="O178"/>
  <c r="P178" s="1"/>
  <c r="Q178" s="1"/>
  <c r="O177"/>
  <c r="P177" s="1"/>
  <c r="Q177" s="1"/>
  <c r="O176"/>
  <c r="O175"/>
  <c r="S175" s="1"/>
  <c r="O174"/>
  <c r="P174" s="1"/>
  <c r="Q174" s="1"/>
  <c r="O173"/>
  <c r="O172"/>
  <c r="M171"/>
  <c r="L171"/>
  <c r="O170"/>
  <c r="O169"/>
  <c r="P169" s="1"/>
  <c r="M168"/>
  <c r="L168"/>
  <c r="O167"/>
  <c r="P167" s="1"/>
  <c r="N166"/>
  <c r="M166"/>
  <c r="L166"/>
  <c r="O165"/>
  <c r="O163" s="1"/>
  <c r="P162"/>
  <c r="Q162" s="1"/>
  <c r="Q161" s="1"/>
  <c r="O162"/>
  <c r="O161" s="1"/>
  <c r="N161"/>
  <c r="M161"/>
  <c r="L161"/>
  <c r="Q160"/>
  <c r="Q148" s="1"/>
  <c r="N148"/>
  <c r="M148"/>
  <c r="L148"/>
  <c r="O147"/>
  <c r="P147" s="1"/>
  <c r="N146"/>
  <c r="M146"/>
  <c r="L146"/>
  <c r="O145"/>
  <c r="P145" s="1"/>
  <c r="Q145" s="1"/>
  <c r="O144"/>
  <c r="P144" s="1"/>
  <c r="M143"/>
  <c r="N143"/>
  <c r="L143"/>
  <c r="O142"/>
  <c r="P142" s="1"/>
  <c r="Q141"/>
  <c r="N140"/>
  <c r="M140"/>
  <c r="L140"/>
  <c r="O139"/>
  <c r="P139" s="1"/>
  <c r="M138"/>
  <c r="S138" s="1"/>
  <c r="L138"/>
  <c r="P137"/>
  <c r="Q137" s="1"/>
  <c r="O137"/>
  <c r="M136"/>
  <c r="R136" s="1"/>
  <c r="L136"/>
  <c r="O135"/>
  <c r="P135" s="1"/>
  <c r="Q135" s="1"/>
  <c r="M134"/>
  <c r="S23" i="6" s="1"/>
  <c r="L134" i="4"/>
  <c r="P133"/>
  <c r="Q133" s="1"/>
  <c r="O133"/>
  <c r="N133"/>
  <c r="M133"/>
  <c r="L133"/>
  <c r="Q132"/>
  <c r="L132"/>
  <c r="L24" s="1"/>
  <c r="Q131"/>
  <c r="L131"/>
  <c r="Q130"/>
  <c r="L130"/>
  <c r="L23" s="1"/>
  <c r="P129"/>
  <c r="Q129" s="1"/>
  <c r="O129"/>
  <c r="N129"/>
  <c r="M129"/>
  <c r="L129"/>
  <c r="O126"/>
  <c r="P126" s="1"/>
  <c r="Q126" s="1"/>
  <c r="O125"/>
  <c r="O124"/>
  <c r="P124" s="1"/>
  <c r="O123"/>
  <c r="P123" s="1"/>
  <c r="Q123" s="1"/>
  <c r="N122"/>
  <c r="M122"/>
  <c r="L122"/>
  <c r="O121"/>
  <c r="P121" s="1"/>
  <c r="Q121" s="1"/>
  <c r="P120"/>
  <c r="Q120" s="1"/>
  <c r="O120"/>
  <c r="O119"/>
  <c r="P119" s="1"/>
  <c r="Q119" s="1"/>
  <c r="O118"/>
  <c r="O117"/>
  <c r="P117" s="1"/>
  <c r="N116"/>
  <c r="M116"/>
  <c r="L116"/>
  <c r="O115"/>
  <c r="O114"/>
  <c r="P114" s="1"/>
  <c r="N113"/>
  <c r="M113"/>
  <c r="L113"/>
  <c r="O112"/>
  <c r="P112" s="1"/>
  <c r="Q112" s="1"/>
  <c r="O111"/>
  <c r="P111" s="1"/>
  <c r="Q111" s="1"/>
  <c r="O110"/>
  <c r="P110" s="1"/>
  <c r="Q110" s="1"/>
  <c r="P109"/>
  <c r="Q109" s="1"/>
  <c r="O109"/>
  <c r="O108"/>
  <c r="P108" s="1"/>
  <c r="N107"/>
  <c r="M107"/>
  <c r="L107"/>
  <c r="N106"/>
  <c r="O106" s="1"/>
  <c r="P106" s="1"/>
  <c r="Q106" s="1"/>
  <c r="N105"/>
  <c r="O105" s="1"/>
  <c r="P105" s="1"/>
  <c r="Q105" s="1"/>
  <c r="M101"/>
  <c r="N104"/>
  <c r="O103"/>
  <c r="P103" s="1"/>
  <c r="L103"/>
  <c r="L81" s="1"/>
  <c r="O102"/>
  <c r="P102" s="1"/>
  <c r="O100"/>
  <c r="P100" s="1"/>
  <c r="P99"/>
  <c r="Q99" s="1"/>
  <c r="O99"/>
  <c r="N98"/>
  <c r="L98"/>
  <c r="O97"/>
  <c r="P97" s="1"/>
  <c r="N96"/>
  <c r="M96"/>
  <c r="L96"/>
  <c r="R40" i="6" s="1"/>
  <c r="O95" i="4"/>
  <c r="P95" s="1"/>
  <c r="Q95" s="1"/>
  <c r="O94"/>
  <c r="P94" s="1"/>
  <c r="N93"/>
  <c r="M93"/>
  <c r="L93"/>
  <c r="O92"/>
  <c r="P92" s="1"/>
  <c r="Q92" s="1"/>
  <c r="O91"/>
  <c r="P91" s="1"/>
  <c r="Q91" s="1"/>
  <c r="O90"/>
  <c r="P90" s="1"/>
  <c r="Q90" s="1"/>
  <c r="O89"/>
  <c r="P89" s="1"/>
  <c r="Q89" s="1"/>
  <c r="O88"/>
  <c r="P88" s="1"/>
  <c r="Q88" s="1"/>
  <c r="N87"/>
  <c r="O87" s="1"/>
  <c r="P87" s="1"/>
  <c r="Q87" s="1"/>
  <c r="M87"/>
  <c r="M82" s="1"/>
  <c r="N86"/>
  <c r="O86" s="1"/>
  <c r="P86" s="1"/>
  <c r="Q86" s="1"/>
  <c r="O85"/>
  <c r="P85" s="1"/>
  <c r="Q85" s="1"/>
  <c r="O84"/>
  <c r="P84" s="1"/>
  <c r="Q83"/>
  <c r="N81"/>
  <c r="M81"/>
  <c r="N80"/>
  <c r="N20" s="1"/>
  <c r="M80"/>
  <c r="M20" s="1"/>
  <c r="L80"/>
  <c r="O77"/>
  <c r="P77" s="1"/>
  <c r="Q77" s="1"/>
  <c r="L77"/>
  <c r="O76"/>
  <c r="P76" s="1"/>
  <c r="Q76" s="1"/>
  <c r="O75"/>
  <c r="P75" s="1"/>
  <c r="Q75" s="1"/>
  <c r="O74"/>
  <c r="P74" s="1"/>
  <c r="Q74" s="1"/>
  <c r="O73"/>
  <c r="P73" s="1"/>
  <c r="Q73" s="1"/>
  <c r="N72"/>
  <c r="O72" s="1"/>
  <c r="P72" s="1"/>
  <c r="Q72" s="1"/>
  <c r="O71"/>
  <c r="P71" s="1"/>
  <c r="Q71" s="1"/>
  <c r="O70"/>
  <c r="P70" s="1"/>
  <c r="Q70" s="1"/>
  <c r="O69"/>
  <c r="P69" s="1"/>
  <c r="Q69" s="1"/>
  <c r="O68"/>
  <c r="P68" s="1"/>
  <c r="Q68" s="1"/>
  <c r="O67"/>
  <c r="P67" s="1"/>
  <c r="Q67" s="1"/>
  <c r="L66"/>
  <c r="L65"/>
  <c r="P64"/>
  <c r="Q64" s="1"/>
  <c r="O64"/>
  <c r="O63"/>
  <c r="P63" s="1"/>
  <c r="Q63" s="1"/>
  <c r="O62"/>
  <c r="P62" s="1"/>
  <c r="Q62" s="1"/>
  <c r="O61"/>
  <c r="P61" s="1"/>
  <c r="Q61" s="1"/>
  <c r="O60"/>
  <c r="P60" s="1"/>
  <c r="Q60" s="1"/>
  <c r="O59"/>
  <c r="P59" s="1"/>
  <c r="Q59" s="1"/>
  <c r="O58"/>
  <c r="P58" s="1"/>
  <c r="Q58" s="1"/>
  <c r="O57"/>
  <c r="P57" s="1"/>
  <c r="Q57" s="1"/>
  <c r="O56"/>
  <c r="P56" s="1"/>
  <c r="Q56" s="1"/>
  <c r="O55"/>
  <c r="P55" s="1"/>
  <c r="Q55" s="1"/>
  <c r="O54"/>
  <c r="P54" s="1"/>
  <c r="N53"/>
  <c r="M53"/>
  <c r="L53"/>
  <c r="N52"/>
  <c r="L52"/>
  <c r="L51" s="1"/>
  <c r="M51"/>
  <c r="N50"/>
  <c r="N49" s="1"/>
  <c r="L50"/>
  <c r="L49" s="1"/>
  <c r="M49"/>
  <c r="O48"/>
  <c r="P48" s="1"/>
  <c r="L48"/>
  <c r="L47" s="1"/>
  <c r="N47"/>
  <c r="M47"/>
  <c r="O46"/>
  <c r="P46" s="1"/>
  <c r="Q46" s="1"/>
  <c r="O45"/>
  <c r="P45" s="1"/>
  <c r="Q45" s="1"/>
  <c r="O44"/>
  <c r="P44" s="1"/>
  <c r="Q44" s="1"/>
  <c r="O43"/>
  <c r="P43" s="1"/>
  <c r="Q43" s="1"/>
  <c r="O42"/>
  <c r="P42" s="1"/>
  <c r="Q42" s="1"/>
  <c r="M27"/>
  <c r="O41"/>
  <c r="P41" s="1"/>
  <c r="Q41" s="1"/>
  <c r="O40"/>
  <c r="P40" s="1"/>
  <c r="Q40" s="1"/>
  <c r="O39"/>
  <c r="P39" s="1"/>
  <c r="Q39" s="1"/>
  <c r="O38"/>
  <c r="P38" s="1"/>
  <c r="Q38" s="1"/>
  <c r="O37"/>
  <c r="P37" s="1"/>
  <c r="O36"/>
  <c r="P36" s="1"/>
  <c r="Q36" s="1"/>
  <c r="O35"/>
  <c r="P35" s="1"/>
  <c r="Q35" s="1"/>
  <c r="O34"/>
  <c r="P34" s="1"/>
  <c r="Q34" s="1"/>
  <c r="N33"/>
  <c r="O33" s="1"/>
  <c r="P33" s="1"/>
  <c r="Q33" s="1"/>
  <c r="O32"/>
  <c r="P32" s="1"/>
  <c r="Q32" s="1"/>
  <c r="O31"/>
  <c r="P31" s="1"/>
  <c r="Q31" s="1"/>
  <c r="O30"/>
  <c r="P30" s="1"/>
  <c r="Q30" s="1"/>
  <c r="O29"/>
  <c r="P29" s="1"/>
  <c r="Q29" s="1"/>
  <c r="O28"/>
  <c r="P28" s="1"/>
  <c r="Q28" s="1"/>
  <c r="L27"/>
  <c r="P22"/>
  <c r="O22"/>
  <c r="N22"/>
  <c r="M22"/>
  <c r="L22"/>
  <c r="K24" i="6"/>
  <c r="M26" i="4" l="1"/>
  <c r="M25" s="1"/>
  <c r="O227"/>
  <c r="O148"/>
  <c r="O50"/>
  <c r="P50" s="1"/>
  <c r="Q50" s="1"/>
  <c r="Q49" s="1"/>
  <c r="L26"/>
  <c r="L25" s="1"/>
  <c r="L79"/>
  <c r="S79" s="1"/>
  <c r="L20"/>
  <c r="M21"/>
  <c r="N82"/>
  <c r="N128"/>
  <c r="N127" s="1"/>
  <c r="L128"/>
  <c r="L127" s="1"/>
  <c r="Q142"/>
  <c r="Q140" s="1"/>
  <c r="P140"/>
  <c r="N101"/>
  <c r="N21"/>
  <c r="O140"/>
  <c r="P165"/>
  <c r="L227"/>
  <c r="L220" s="1"/>
  <c r="L219" s="1"/>
  <c r="S219" s="1"/>
  <c r="O104"/>
  <c r="P104" s="1"/>
  <c r="Q104" s="1"/>
  <c r="Q101" s="1"/>
  <c r="O143"/>
  <c r="O168"/>
  <c r="S176" s="1"/>
  <c r="M128"/>
  <c r="M127" s="1"/>
  <c r="M79"/>
  <c r="M78" s="1"/>
  <c r="Q169"/>
  <c r="O171"/>
  <c r="P180"/>
  <c r="Q180" s="1"/>
  <c r="P176"/>
  <c r="P172"/>
  <c r="Q172" s="1"/>
  <c r="S172"/>
  <c r="P175"/>
  <c r="R171"/>
  <c r="Q103"/>
  <c r="P81"/>
  <c r="P21" s="1"/>
  <c r="Q100"/>
  <c r="Q98" s="1"/>
  <c r="P98"/>
  <c r="P80"/>
  <c r="P20" s="1"/>
  <c r="Q102"/>
  <c r="O122"/>
  <c r="L21"/>
  <c r="O98"/>
  <c r="O80"/>
  <c r="O20" s="1"/>
  <c r="O81"/>
  <c r="O21" s="1"/>
  <c r="O96"/>
  <c r="O116"/>
  <c r="P161"/>
  <c r="N223"/>
  <c r="N220" s="1"/>
  <c r="O225"/>
  <c r="N27"/>
  <c r="N26" s="1"/>
  <c r="N25" s="1"/>
  <c r="O47"/>
  <c r="O52"/>
  <c r="O113"/>
  <c r="P148"/>
  <c r="M220"/>
  <c r="M219" s="1"/>
  <c r="P229"/>
  <c r="Q229" s="1"/>
  <c r="Q54"/>
  <c r="Q53" s="1"/>
  <c r="P53"/>
  <c r="Q94"/>
  <c r="Q80"/>
  <c r="Q20" s="1"/>
  <c r="Q108"/>
  <c r="Q107" s="1"/>
  <c r="P107"/>
  <c r="Q117"/>
  <c r="Q231"/>
  <c r="Q230" s="1"/>
  <c r="P230"/>
  <c r="P49"/>
  <c r="P82"/>
  <c r="Q84"/>
  <c r="Q82" s="1"/>
  <c r="Q114"/>
  <c r="Q147"/>
  <c r="Q146" s="1"/>
  <c r="P146"/>
  <c r="Q226"/>
  <c r="Q225" s="1"/>
  <c r="P225"/>
  <c r="P47"/>
  <c r="Q48"/>
  <c r="Q47" s="1"/>
  <c r="Q97"/>
  <c r="Q96" s="1"/>
  <c r="P96"/>
  <c r="Q124"/>
  <c r="Q139"/>
  <c r="Q167"/>
  <c r="Q166" s="1"/>
  <c r="P166"/>
  <c r="Q222"/>
  <c r="P221"/>
  <c r="O223"/>
  <c r="P224"/>
  <c r="Q144"/>
  <c r="Q143" s="1"/>
  <c r="P143"/>
  <c r="Q37"/>
  <c r="Q27" s="1"/>
  <c r="O53"/>
  <c r="O82"/>
  <c r="O107"/>
  <c r="P115"/>
  <c r="Q115" s="1"/>
  <c r="P118"/>
  <c r="Q118" s="1"/>
  <c r="P125"/>
  <c r="Q125" s="1"/>
  <c r="O146"/>
  <c r="O166"/>
  <c r="P170"/>
  <c r="P168" s="1"/>
  <c r="P173"/>
  <c r="Q173" s="1"/>
  <c r="O221"/>
  <c r="O230"/>
  <c r="O93"/>
  <c r="N79" l="1"/>
  <c r="N78" s="1"/>
  <c r="L78"/>
  <c r="S78" s="1"/>
  <c r="S128"/>
  <c r="O49"/>
  <c r="P101"/>
  <c r="O101"/>
  <c r="O79" s="1"/>
  <c r="O78" s="1"/>
  <c r="Q122"/>
  <c r="Q227"/>
  <c r="P227"/>
  <c r="Q165"/>
  <c r="Q163" s="1"/>
  <c r="P163"/>
  <c r="P116"/>
  <c r="U172"/>
  <c r="T172"/>
  <c r="P171"/>
  <c r="O128"/>
  <c r="O127" s="1"/>
  <c r="S171"/>
  <c r="Q175"/>
  <c r="U175" s="1"/>
  <c r="T175"/>
  <c r="Q176"/>
  <c r="T176"/>
  <c r="N219"/>
  <c r="P52"/>
  <c r="M19"/>
  <c r="M18" s="1"/>
  <c r="L19"/>
  <c r="Q81"/>
  <c r="Q21" s="1"/>
  <c r="P93"/>
  <c r="Q170"/>
  <c r="Q168" s="1"/>
  <c r="Q221"/>
  <c r="P223"/>
  <c r="Q224"/>
  <c r="Q223" s="1"/>
  <c r="Q113"/>
  <c r="O220"/>
  <c r="O219" s="1"/>
  <c r="P122"/>
  <c r="Q93"/>
  <c r="P113"/>
  <c r="Q116"/>
  <c r="T30" i="6"/>
  <c r="U30"/>
  <c r="V30"/>
  <c r="W30"/>
  <c r="K30"/>
  <c r="V24"/>
  <c r="T24"/>
  <c r="U24"/>
  <c r="W24"/>
  <c r="S22"/>
  <c r="K22"/>
  <c r="O19"/>
  <c r="O18" s="1"/>
  <c r="L19"/>
  <c r="L18" s="1"/>
  <c r="M19"/>
  <c r="M18" s="1"/>
  <c r="N19"/>
  <c r="N18" s="1"/>
  <c r="K19"/>
  <c r="K18" s="1"/>
  <c r="N19" i="4" l="1"/>
  <c r="N18" s="1"/>
  <c r="O25"/>
  <c r="Q171"/>
  <c r="L18"/>
  <c r="S19"/>
  <c r="P220"/>
  <c r="P219" s="1"/>
  <c r="P79"/>
  <c r="P78" s="1"/>
  <c r="Q78" s="1"/>
  <c r="Q79"/>
  <c r="U176"/>
  <c r="P128"/>
  <c r="P127" s="1"/>
  <c r="Q127" s="1"/>
  <c r="T171"/>
  <c r="P26"/>
  <c r="P25" s="1"/>
  <c r="Q52"/>
  <c r="Q26" s="1"/>
  <c r="Q220"/>
  <c r="Q219" s="1"/>
  <c r="S30" i="6"/>
  <c r="L30"/>
  <c r="M30"/>
  <c r="N30"/>
  <c r="O30"/>
  <c r="P30"/>
  <c r="Q30"/>
  <c r="R30"/>
  <c r="L24"/>
  <c r="M24"/>
  <c r="N24"/>
  <c r="O24"/>
  <c r="P24"/>
  <c r="Q24"/>
  <c r="R24"/>
  <c r="L22"/>
  <c r="M22"/>
  <c r="N22"/>
  <c r="O22"/>
  <c r="P22"/>
  <c r="Q22"/>
  <c r="T22"/>
  <c r="U22"/>
  <c r="V22"/>
  <c r="W22"/>
  <c r="O19" i="4" l="1"/>
  <c r="O18" s="1"/>
  <c r="Q25"/>
  <c r="Q128"/>
  <c r="Q19" s="1"/>
  <c r="Q18" s="1"/>
  <c r="U171"/>
  <c r="P19"/>
  <c r="P18" s="1"/>
  <c r="S25" i="6"/>
  <c r="S24" s="1"/>
  <c r="W20" l="1"/>
  <c r="W19" s="1"/>
  <c r="W18" s="1"/>
  <c r="V20"/>
  <c r="V19" s="1"/>
  <c r="V18" s="1"/>
  <c r="U20"/>
  <c r="U19" s="1"/>
  <c r="U18" s="1"/>
  <c r="T20"/>
  <c r="T19" s="1"/>
  <c r="T18" s="1"/>
  <c r="S20"/>
  <c r="S19" s="1"/>
  <c r="S18" s="1"/>
  <c r="N66" i="4" l="1"/>
  <c r="N67" i="8"/>
  <c r="M67"/>
  <c r="O66" i="4"/>
  <c r="M66"/>
  <c r="O67" i="8"/>
  <c r="P67"/>
  <c r="P66" i="4"/>
</calcChain>
</file>

<file path=xl/comments1.xml><?xml version="1.0" encoding="utf-8"?>
<comments xmlns="http://schemas.openxmlformats.org/spreadsheetml/2006/main">
  <authors>
    <author>пользователь</author>
  </authors>
  <commentList>
    <comment ref="E14" authorId="0">
      <text>
        <r>
          <rPr>
            <b/>
            <sz val="9"/>
            <color indexed="81"/>
            <rFont val="Tahoma"/>
            <family val="2"/>
            <charset val="204"/>
          </rPr>
          <t>пользователь:</t>
        </r>
        <r>
          <rPr>
            <sz val="9"/>
            <color indexed="81"/>
            <rFont val="Tahoma"/>
            <family val="2"/>
            <charset val="204"/>
          </rPr>
          <t xml:space="preserve">
из плана по реализации на 2017 год</t>
        </r>
      </text>
    </comment>
  </commentList>
</comments>
</file>

<file path=xl/comments2.xml><?xml version="1.0" encoding="utf-8"?>
<comments xmlns="http://schemas.openxmlformats.org/spreadsheetml/2006/main">
  <authors>
    <author>пользователь</author>
  </authors>
  <commentList>
    <comment ref="I22" authorId="0">
      <text>
        <r>
          <rPr>
            <b/>
            <sz val="9"/>
            <color indexed="81"/>
            <rFont val="Tahoma"/>
            <family val="2"/>
            <charset val="204"/>
          </rPr>
          <t>пользователь:</t>
        </r>
        <r>
          <rPr>
            <sz val="9"/>
            <color indexed="81"/>
            <rFont val="Tahoma"/>
            <family val="2"/>
            <charset val="204"/>
          </rPr>
          <t xml:space="preserve">
из ГП без учета изменений в 2017 году</t>
        </r>
      </text>
    </comment>
  </commentList>
</comments>
</file>

<file path=xl/sharedStrings.xml><?xml version="1.0" encoding="utf-8"?>
<sst xmlns="http://schemas.openxmlformats.org/spreadsheetml/2006/main" count="5005" uniqueCount="963">
  <si>
    <t>Наименование государственной программы</t>
  </si>
  <si>
    <t>(указать наименование государственной программы)</t>
  </si>
  <si>
    <t>(указать наименование исполнительного органа государственной власти  Удмуртской Республики)</t>
  </si>
  <si>
    <t>Код аналитической программной классификации</t>
  </si>
  <si>
    <t>ГП</t>
  </si>
  <si>
    <t>Пп</t>
  </si>
  <si>
    <t>07</t>
  </si>
  <si>
    <t>01</t>
  </si>
  <si>
    <t>02</t>
  </si>
  <si>
    <t>03</t>
  </si>
  <si>
    <t>04</t>
  </si>
  <si>
    <t xml:space="preserve">Ответственный исполнитель </t>
  </si>
  <si>
    <t>ОМ</t>
  </si>
  <si>
    <t>М</t>
  </si>
  <si>
    <t>Осуществление мер социальной поддержки граждан в денежной форме, в том числе:</t>
  </si>
  <si>
    <t>социальные пособия  на погребение</t>
  </si>
  <si>
    <t>ежегодные денежные выплаты инвалидам боевых действий, проходившим военную службу по призыву</t>
  </si>
  <si>
    <t>доплаты к пенсиям, дополнительное пенсионное обеспечение</t>
  </si>
  <si>
    <t xml:space="preserve">выплаты инвалидам компенсаций страховых премий по договору обязательного страхования гражданской ответственности владельцев транспортных средств (ОСАГО)                                                                     </t>
  </si>
  <si>
    <t xml:space="preserve">материальная помощь малоимущим семьям,  малоимущим одиноко проживающим гражданам, а также иным гражданам, находящимся в трудной жизненной ситуации </t>
  </si>
  <si>
    <t>Обеспечение протезно- ортопедическими изделиями  тружеников тыла и граждан, не имеющих группу инвалидности</t>
  </si>
  <si>
    <t xml:space="preserve">Обеспечение техническими средствами реабилитации, протезами (кроме зубных) и протезно- ортопедическими изделиями инвалидов и отдельных категорий граждан из числа ветеранов                                                                                                                                                                                </t>
  </si>
  <si>
    <t>Оказание отдельным категориям граждан государственной социальной помощи  в части предоставления путевок и бесплатного проезда на междугородном транспорте к месту лечения и обратно, при наличии медицинских показаний, на санаторно- курортное лечение</t>
  </si>
  <si>
    <t>Субсидии отдельным общественным организациям и иным некоммерческим объединениям на реализацию функций в области социальной политики</t>
  </si>
  <si>
    <t xml:space="preserve">ежемесячное пособие на ребенка </t>
  </si>
  <si>
    <t>06</t>
  </si>
  <si>
    <t>социальное обслуживание в социально-реабилитационных центрах для несовершеннолетних</t>
  </si>
  <si>
    <t>социальное обслуживание в реабилитационных центрах для детей и подростков с ограниченными возможностями</t>
  </si>
  <si>
    <t>стационарное социальное обслуживание в домах-интернатах для престарелых и инвалидов</t>
  </si>
  <si>
    <t>стационарное социальное обслуживание в психоневрологических интернатах</t>
  </si>
  <si>
    <t>стационарное социальное обслуживание в детских домах-интернатах для умственно отсталых детей</t>
  </si>
  <si>
    <t>предоставление образовательных услуг: начальное профессиональное образование, среднее профессиональное образование</t>
  </si>
  <si>
    <t>социальное обслуживание в социально-реабилитационных центрах для граждан пожилого возраста и инвалидов</t>
  </si>
  <si>
    <t>05</t>
  </si>
  <si>
    <t>08</t>
  </si>
  <si>
    <t>09</t>
  </si>
  <si>
    <t xml:space="preserve">Централизованные мероприятия Министерства </t>
  </si>
  <si>
    <t xml:space="preserve">Обеспечение текущей деятельности , руководство и управление в сфере установленных функций территориальных органов Министерства </t>
  </si>
  <si>
    <t>Показатель применения меры</t>
  </si>
  <si>
    <t>2015 г.</t>
  </si>
  <si>
    <t>Приложение 5</t>
  </si>
  <si>
    <t>Наименование государственной программы, подпрограммы, основного мероприятия, мероприятия</t>
  </si>
  <si>
    <t>Код бюджетной классификации</t>
  </si>
  <si>
    <t>Код главы</t>
  </si>
  <si>
    <t>Рз</t>
  </si>
  <si>
    <t>Пр</t>
  </si>
  <si>
    <t>ЦС</t>
  </si>
  <si>
    <t>ВР</t>
  </si>
  <si>
    <t>всего</t>
  </si>
  <si>
    <t>Х</t>
  </si>
  <si>
    <t>313</t>
  </si>
  <si>
    <t>10</t>
  </si>
  <si>
    <t>321</t>
  </si>
  <si>
    <t xml:space="preserve">Обеспечение текущей деятельности, руководство и управление в сфере установленных функций центрального аппарата Министерства                                       </t>
  </si>
  <si>
    <t>Наименование государственной программы, подпрограммы</t>
  </si>
  <si>
    <t>Источник финансирования</t>
  </si>
  <si>
    <t>субвенции из федерального бюджета</t>
  </si>
  <si>
    <t>Территориальный фонд обязательного медицинского страхования Удмуртской Республики</t>
  </si>
  <si>
    <t xml:space="preserve">«Развитие мер социальной поддержки отдельных категорий граждан» </t>
  </si>
  <si>
    <t>«Модернизация и развитие социального обслуживания населения»</t>
  </si>
  <si>
    <t xml:space="preserve">Развитие мер социальной поддержки отдельных категорий граждан </t>
  </si>
  <si>
    <t xml:space="preserve">Модернизация и развитие социального обслуживания населения </t>
  </si>
  <si>
    <t>Ответственный исполнитель, соисполнитель</t>
  </si>
  <si>
    <t>Создание условий для реализации государственной программы</t>
  </si>
  <si>
    <t>122, 242, 243, 244, 612</t>
  </si>
  <si>
    <t>Уплата налога на имущество организаций и земельного налога</t>
  </si>
  <si>
    <t>121, 122, 242, 244, 852</t>
  </si>
  <si>
    <t>121, 122, 242,244, 852,900</t>
  </si>
  <si>
    <t>11</t>
  </si>
  <si>
    <t>12</t>
  </si>
  <si>
    <t>Социальное обеспечение: предоставление государственной социальной помощи,  а также выплата социальных пособий и компенсаций:</t>
  </si>
  <si>
    <t>Укрепление материально - технической базы учреждений социального обслуживания</t>
  </si>
  <si>
    <t xml:space="preserve">«Создание условий для реализации государственной программы» </t>
  </si>
  <si>
    <t>13</t>
  </si>
  <si>
    <t xml:space="preserve">единовременное пособие и ежемесячная денежная компенсация гражданам при возникновении поствакцинальных осложнений                                                         </t>
  </si>
  <si>
    <t>14</t>
  </si>
  <si>
    <t>15</t>
  </si>
  <si>
    <t>Выплата стипендий учащимся учреждений начального и среднего профессионального образования</t>
  </si>
  <si>
    <t>Ежемесячные компенсационные выплаты матерям (или другим родственникам, фактически осуществляющих уход за ребенком), состоящим в трудовых отношениях на условиях найма с организациями, находящимся в отпуске по уходу за ребенком</t>
  </si>
  <si>
    <t>Денежная компенсация расходов по оплате жилых помещений и коммунальных услуг (отопление, освещение) работникам государственных учреждений Удмуртской Республики, проживающим и работающим в сельских населенных пунктах, рабочих поселках и поселках городского типа</t>
  </si>
  <si>
    <t>Денежные компенсационные выплаты за питание детям- сиротам и детям, оставшимся без попечения родителей</t>
  </si>
  <si>
    <t>Выплаты единовременного денежного пособия выпускникам образовательных учреждений из числа детей- сирот и детей, оставшихся без попечения родителей</t>
  </si>
  <si>
    <t>Денежные компенсационные выплаты по обеспечению детей- сирот одеждой, обувью детям- сиротам и детям, оставшимся без попечения родителей, в том числе выпускников</t>
  </si>
  <si>
    <t>2016 г.</t>
  </si>
  <si>
    <t>2017 г.</t>
  </si>
  <si>
    <t>2018 г.</t>
  </si>
  <si>
    <t>2019 г.</t>
  </si>
  <si>
    <t>2020 г.</t>
  </si>
  <si>
    <t>Социальное обслуживание в комплексных центрах социального обслуживания</t>
  </si>
  <si>
    <t>Субсидия автономным и бюджетным учреждениям на укрепление материально - технической базы учреждений социального обслуживания</t>
  </si>
  <si>
    <t xml:space="preserve">Реализация мероприятий по улучшению положения и качества жизни пожилых людей </t>
  </si>
  <si>
    <t>Мероприятие по оказанию адресной социальной помощи неработающим пенсионерам, являющимся получателями трудовых пенсий по старости и по инвалидности</t>
  </si>
  <si>
    <t xml:space="preserve">Мероприятия по обеспечению пожарной безопасность в органах и учреждениях социальной защиты населения </t>
  </si>
  <si>
    <t>Субсидия автономным и бюджетным учреждениям на обеспечение пожарной безопасности</t>
  </si>
  <si>
    <t>Мероприятия  по обеспечению пожарной безопасности в казенных учреждениях и территориальных органах</t>
  </si>
  <si>
    <t>111, 112, 242, 243, 244, 321, 852</t>
  </si>
  <si>
    <t>111, 112, 242, 244, 621, 852</t>
  </si>
  <si>
    <t>0730490</t>
  </si>
  <si>
    <t xml:space="preserve"> 244, 321</t>
  </si>
  <si>
    <t>1</t>
  </si>
  <si>
    <t>Мероприятия, направленные на укрепление социальной защищенности пожилых людей</t>
  </si>
  <si>
    <t xml:space="preserve">Приобретение устройств электронного экстренного вызова (тревожная кнопка) и организация работы системы экстренного вызова </t>
  </si>
  <si>
    <t>Чествование ветеранов Великой Отечественной войны в связи с традиционно считающимися юбилейными днями рождения, начиная с 90-летия</t>
  </si>
  <si>
    <t xml:space="preserve">Оказание  материальной помощи  пенсионерам  в случае материального ущерба вследствие пожара и иных стихийных бедствий, на проведение ремонта жилых помещений, установку приборов учета топливно-энергетических ресурсов, на проведение зубопротезирования, дорогостоящего лечения
</t>
  </si>
  <si>
    <t>Оказание единовременной помощи отдельным категориям граждан на газификацию жилых домов или жилых помещений в многоквартирном доме</t>
  </si>
  <si>
    <t>Оказание единовременной денежной выплаты  ветеранам Великой Отечественной войны 1941-1945 годов</t>
  </si>
  <si>
    <t>Организация  свободного времени и культурного досуга пожилых людей</t>
  </si>
  <si>
    <t>Организация и проведение специализированных оздоровительных заездов  для ветеранов Великой Отечественной войны  и граждан пожилого возраста ("детей войны")</t>
  </si>
  <si>
    <t>Проведение мероприятий, посвященных Дню пожилых людей, Дню инвалидов, празднованию Дня Победы в Великой Отечественной войне 1941-1945 годов, в том числе участие делегации Удмуртской Республики, пожилых людей в памятно-мемориальных мероприятиях, проводимых в г. Москве и других населенных пунктах России. Проведение фестивалей, выставок творчества, организация льготной подписки и доставки газеты для пожилых людей</t>
  </si>
  <si>
    <t>612,
851</t>
  </si>
  <si>
    <t>30</t>
  </si>
  <si>
    <t>Министерство социальной, семейной и демографической политики Удмуртской Республики _____</t>
  </si>
  <si>
    <t>Министерство социальной, семейной и демографической политики Удмуртской Республики</t>
  </si>
  <si>
    <t>Финансовое обеспечение расходных обязательств муниципальных образований, возникающих при выполнении государственных полномочий, мероприятий по укреплению и развитию института семьи</t>
  </si>
  <si>
    <t>Система мероприятий по устройству детей-сирот и детей оставшихся без попечения родителей на воспитание в семьи</t>
  </si>
  <si>
    <t>Организация социальной поддержки детей-сирот и детей, оставшихся без попечения родителей</t>
  </si>
  <si>
    <t>Организация опеки и попечительства в отношении несовершеннолетних</t>
  </si>
  <si>
    <t>Система мер по оказанию социальной поддержки семьям с детьми</t>
  </si>
  <si>
    <t>Выплаты семьям опекунов на содержание подопечных детей</t>
  </si>
  <si>
    <t>Выплата единовременного вознаграждения награждённым знаком отличия «Родительская слава»</t>
  </si>
  <si>
    <t>Министерство здравоохранения Удмуртской Республики</t>
  </si>
  <si>
    <t>Предоставление мер социальной поддержки многодетным семьям, учет (регистрация) многодетных семей</t>
  </si>
  <si>
    <t>Предоставление субсидии многодетным признаным нуждающимися в улучшении жилищных условий, на строительство, реконструкцию, капитальный ремонт и приобретение жилых помещений</t>
  </si>
  <si>
    <t>Выплата единовременного денежного пособия при всех формах устройства детей, лишённых родительского попечения, в семью</t>
  </si>
  <si>
    <t>Выплата единовременного денежного пособия при усыновлении или удочерении детей-сирот и детей, оставшихся без попечения родителей</t>
  </si>
  <si>
    <t>Материальное обеспечение приёмной семьи</t>
  </si>
  <si>
    <t>3010343</t>
  </si>
  <si>
    <t>3010353</t>
  </si>
  <si>
    <t>3010355</t>
  </si>
  <si>
    <t>3010358</t>
  </si>
  <si>
    <t>3010361</t>
  </si>
  <si>
    <t>3015280</t>
  </si>
  <si>
    <t>3010408-3010412
3010414-3010418
3010665</t>
  </si>
  <si>
    <t>3010356</t>
  </si>
  <si>
    <t>3015240</t>
  </si>
  <si>
    <t>3040003</t>
  </si>
  <si>
    <t>3040007</t>
  </si>
  <si>
    <t>3040062
3040064</t>
  </si>
  <si>
    <t>3040406</t>
  </si>
  <si>
    <t>3030062
3030064</t>
  </si>
  <si>
    <t>3030068</t>
  </si>
  <si>
    <t>3030345</t>
  </si>
  <si>
    <t>3030346</t>
  </si>
  <si>
    <t>3030347</t>
  </si>
  <si>
    <t>3030348</t>
  </si>
  <si>
    <t>3030378</t>
  </si>
  <si>
    <t>3030379</t>
  </si>
  <si>
    <t>3030380</t>
  </si>
  <si>
    <t>3030381</t>
  </si>
  <si>
    <t>3030382</t>
  </si>
  <si>
    <t>3030388</t>
  </si>
  <si>
    <t>3030389</t>
  </si>
  <si>
    <t>3030390</t>
  </si>
  <si>
    <t>3030568</t>
  </si>
  <si>
    <t>3030490</t>
  </si>
  <si>
    <t>3030511</t>
  </si>
  <si>
    <t xml:space="preserve">243, 244 </t>
  </si>
  <si>
    <t>3030514</t>
  </si>
  <si>
    <t>3020062
3020064</t>
  </si>
  <si>
    <t>3020446</t>
  </si>
  <si>
    <t>3020571</t>
  </si>
  <si>
    <t>3020441</t>
  </si>
  <si>
    <t>3020442</t>
  </si>
  <si>
    <t>3020376</t>
  </si>
  <si>
    <t>3020426</t>
  </si>
  <si>
    <t>3020434</t>
  </si>
  <si>
    <t>3025260</t>
  </si>
  <si>
    <t>3020633</t>
  </si>
  <si>
    <t>Социальная помощь населению</t>
  </si>
  <si>
    <t>Социальное обслуживание в социальных гостиницах</t>
  </si>
  <si>
    <t>3030626</t>
  </si>
  <si>
    <t>3030625</t>
  </si>
  <si>
    <t>Агентство печати и массовых коммуникаций Удмуртской Республики</t>
  </si>
  <si>
    <t>Создание и организация деятельности комиссий по делам несовершеннолетних и защите их прав</t>
  </si>
  <si>
    <t>3020435</t>
  </si>
  <si>
    <t>Адаптация объектов социальной инфраструктуры с целью доступности для инвалидов и другие мероприятия в рамках реализации государственной программы Российской Федерации «Доступная среда»</t>
  </si>
  <si>
    <t xml:space="preserve"> Реализация демографической и семейной политики, совершенствование социальной поддержки семей с детьми</t>
  </si>
  <si>
    <t xml:space="preserve">«Реализация демографической и семейной политики, совершенствование социальной поддержки семей с детьми» </t>
  </si>
  <si>
    <t xml:space="preserve">к государственной программе
Удмуртской Республики «Социальная поддержка граждан» </t>
  </si>
  <si>
    <t>к государственной программе
Удмуртской Республики «Социальная поддержка граждан»</t>
  </si>
  <si>
    <r>
      <t xml:space="preserve">__________«Социальная  поддержка граждан» </t>
    </r>
    <r>
      <rPr>
        <i/>
        <u/>
        <sz val="11"/>
        <color theme="1"/>
        <rFont val="Times New Roman"/>
        <family val="1"/>
        <charset val="204"/>
      </rPr>
      <t>_________</t>
    </r>
  </si>
  <si>
    <t xml:space="preserve">«Социальная поддержка граждан» </t>
  </si>
  <si>
    <t>16</t>
  </si>
  <si>
    <t>3015130</t>
  </si>
  <si>
    <t>3015194</t>
  </si>
  <si>
    <t>3020425</t>
  </si>
  <si>
    <t>3030517</t>
  </si>
  <si>
    <t>Министерство образования и науки Удмуртской Республики</t>
  </si>
  <si>
    <t xml:space="preserve">Информация по финансовому обеспечению государственной программы за счет средств бюджета Удмуртской Республики и бюджета Территориального фонда обязательного медицинского страхования Удмуртской Республики 
</t>
  </si>
  <si>
    <t>ежемесячное  денежное вознаграждение за почетное звание «Почетный гражданин Удмуртской Республики»</t>
  </si>
  <si>
    <t xml:space="preserve">Реализация Социальной программы Удмуртской Республики «Укрепление материально-технической базы учреждений социального обслуживания населения и оказание адресной социальной помощи неработающим пенсионерам, являющимся получателями трудовых пенсий по старости и по инвалидности, за счёт субсидии Пенсионного фонда Российской Федерации и средств бюджета Удмуртской Республики»
</t>
  </si>
  <si>
    <t>Субсидия автономному учреждению на финансовое обеспечение государственного задания на оказание государственной услуги «Обеспечение оздоровления и отдыха детей»</t>
  </si>
  <si>
    <t>Выплата компенсации расходов на приобретение одежды и обуви для школьников из малоимущих семей, а также семей оказавшихся в трудной жизненной ситуации</t>
  </si>
  <si>
    <t>Обеспечение мер социальной поддержки ветеранов труда (ежемесячная денежная выплата)</t>
  </si>
  <si>
    <t>Предоставление мер социальной поддержки, оказание государственной социальной помощи, выплата социальных пособий и компенсаций отдельным категориям граждан</t>
  </si>
  <si>
    <t>3010000000</t>
  </si>
  <si>
    <t>3010105530, 
3010553</t>
  </si>
  <si>
    <t>Обеспечение мер социальной поддержки тружеников тыла</t>
  </si>
  <si>
    <t>3010103730, 
3010373</t>
  </si>
  <si>
    <t>Обеспечение мер социальной поддержки реабилитированных лиц и лиц, признанных пострадавшими от политических репрессий (ежемесячная денежная выплата)</t>
  </si>
  <si>
    <t>3010105540, 
3010554</t>
  </si>
  <si>
    <t>Обеспечение мер социальной поддержки ветеранов труда (ежемесячная денежная компенсация расходов на оплату жилого помещения и коммунальных услуг)</t>
  </si>
  <si>
    <t>3010103720, 
3010372</t>
  </si>
  <si>
    <t>Обеспечение мер социальной поддержки реабилитированных лиц и лиц, признанных пострадавшими от политических репрессий (ежемесячная денежная компенсация расходов на оплату жилого помещения и коммунальных услуг)</t>
  </si>
  <si>
    <t>3010103740, 
3010374</t>
  </si>
  <si>
    <t>30101052500,
3015250</t>
  </si>
  <si>
    <t>Оплата жилищно-коммунальных услуг отдельным категориям граждан</t>
  </si>
  <si>
    <t>Обеспечение мер социальной поддержки для лиц, награжденных знаком «Почетный донор СССР», «Почетный донор России»</t>
  </si>
  <si>
    <t>3010152200, 
3015220</t>
  </si>
  <si>
    <t>Оказание материальной помощьи малоимущим семьям,  малоимущим одиноко проживающим гражданам, а также иным гражданам, находящимся в трудной жизненной ситуации</t>
  </si>
  <si>
    <t>3010103560</t>
  </si>
  <si>
    <t>На реализацию Указа Президента Удмуртской Республики от 16 июня 2009 года № 173 «Об организации чествования супружеских пар, отмечающих 50-, 55-, 60-, 65-, 70- и 75-летие совместной жизни»</t>
  </si>
  <si>
    <t>3010103570, 
3010357</t>
  </si>
  <si>
    <t>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t>
  </si>
  <si>
    <t>3010103530</t>
  </si>
  <si>
    <t>3010103580</t>
  </si>
  <si>
    <t>На реализацию льгот гражданам, имеющим звание «Почетный гражданин Удмуртской Республики»</t>
  </si>
  <si>
    <t>На реализацию Закона Удмуртской Республики от 14 июня 2007 года № 30-РЗ «О ежегодной денежной выплате инвалидам боевых действий, проходившим военную службу по призыву»</t>
  </si>
  <si>
    <t>3010103610</t>
  </si>
  <si>
    <t>Доплаты к пенсиям государственных служащих субъектов Российской Федерации и муниципальных служащих</t>
  </si>
  <si>
    <t>3010103430</t>
  </si>
  <si>
    <t>Выплата стипендий учащимся организаций среднего профессионального образования</t>
  </si>
  <si>
    <t>3010103810</t>
  </si>
  <si>
    <t xml:space="preserve">Осуществление ежемесячной денежной выплаты отдельным категориям граждан </t>
  </si>
  <si>
    <t xml:space="preserve">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Удмуртской Республики и гарантиях спасателям аварийно-спасательных служб Удмуртской Республики" </t>
  </si>
  <si>
    <t>3010107220</t>
  </si>
  <si>
    <t>3010107230</t>
  </si>
  <si>
    <t>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</si>
  <si>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17</t>
  </si>
  <si>
    <t>3010151370,  
3015137</t>
  </si>
  <si>
    <t>18</t>
  </si>
  <si>
    <t>Государственные единовременные пособия и ежемесячные денежные компенсации гражданам при возникновении поствакцинальных осложнений</t>
  </si>
  <si>
    <t>3010152400</t>
  </si>
  <si>
    <t xml:space="preserve">Обеспечение техническими средствами реабилитации отдельных категорий граждан в части полномочий Удмуртской Республики </t>
  </si>
  <si>
    <t>Обеспечение техническими средствами реабилитации, включая изготовление и ремонт протезно-ортопедических изделий и оказание услуг по сурдопереводу</t>
  </si>
  <si>
    <t>3010300000</t>
  </si>
  <si>
    <t>3010303550</t>
  </si>
  <si>
    <t>Обеспечение инвалидов и отдельных категорий граждан из числа ветеранов техническими средствами реабилитации, включая ремонт</t>
  </si>
  <si>
    <t xml:space="preserve">Обеспечение техническими средствами реабилитации, протезами (кроме зубных протезов), протезно- ортопедическими изделиями инвалидов и отдельных категорий граждан из числа ветеранов                                                                                                                                                                                </t>
  </si>
  <si>
    <t>3010400000</t>
  </si>
  <si>
    <t>3010451300</t>
  </si>
  <si>
    <t>Обеспечение отдельных категорий граждан путевками на санаторно-курортное лечение и бесплатным проездом на междугородном транспорте к месту лечения и обратно</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</si>
  <si>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</si>
  <si>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3010500000</t>
  </si>
  <si>
    <t>3010551940</t>
  </si>
  <si>
    <t>3010600000</t>
  </si>
  <si>
    <t>Удмуртская республиканская организация общероссийской общественной организации «Всероссийское общество инвалидов» (ВОИ)</t>
  </si>
  <si>
    <t>Удмуртская республиканская организация Общероссийской общественной организации инвалидов «Всероссийское ордена Трудового Красного Знамени общество слепых» (ВОС)</t>
  </si>
  <si>
    <t>Удмуртское республиканское отделение Общероссийской общественной организации инвалидов «Всероссийское общество глухих»</t>
  </si>
  <si>
    <t>Удмуртская региональная Ассоциация общественных организаций инвалидов общероссийской общественной организации инвалидов - Российского союза инвалидов - общественная организация инвалидов</t>
  </si>
  <si>
    <t>Удмуртская общественная организация «Ассоциации жертв политических репрессий»</t>
  </si>
  <si>
    <t>Общественная организация инвалидов и ветеранов радиационных аварий - Республиканское общество Союз «Чернобыль» Удмуртской  Республики</t>
  </si>
  <si>
    <t>Удмуртская региональная организация Общероссийской общественной организации инвалидов войны в Афганистане и военной травмы - «Инвалиды войны»</t>
  </si>
  <si>
    <t>Удмуртская  республиканская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</si>
  <si>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Удмуртская региональная общественная организация инвалидов, больных гемофилией и болезнью Виллебранда</t>
  </si>
  <si>
    <t>Республиканское отделение комитета ветеранов-инвалидов подразделений особого риска РФ Удмуртии</t>
  </si>
  <si>
    <t>Региональная общественная организация ветеранов и пенсионеров Главного управления МЧС России по Удмуртской Республике</t>
  </si>
  <si>
    <t>3010604080</t>
  </si>
  <si>
    <t>3010604090</t>
  </si>
  <si>
    <t>3010604100</t>
  </si>
  <si>
    <t>3010604110</t>
  </si>
  <si>
    <t>3020103620, 
3020362</t>
  </si>
  <si>
    <t>3020103710, 
3020371</t>
  </si>
  <si>
    <t>пособие по беременности и родам безработным женщинам</t>
  </si>
  <si>
    <t>3020103590, 
3020359</t>
  </si>
  <si>
    <t>Расходы на выплату ежемесячных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уволенных в связи с ликвидацией организаций</t>
  </si>
  <si>
    <t>3020153810, 
3025381</t>
  </si>
  <si>
    <t xml:space="preserve">Расходы на выплату единовременных пособий при рождении ребенка гражданам, не подлежащим обязательному социальному страхованию на случай временной нетрудоспособности и в связи с материнством </t>
  </si>
  <si>
    <t>3020153850, 
3025385</t>
  </si>
  <si>
    <t xml:space="preserve">Расходы на выплату единовременных пособий женщинам, вставшим на учет в медицинских учреждениях в ранние сроки беременности, уволенным в связи с ликвидацией организаций, прекращением деятельности (полномочий) физических лиц в установленном порядке </t>
  </si>
  <si>
    <t>3020153860, 
3025386</t>
  </si>
  <si>
    <t>Расходы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 в установленном порядке</t>
  </si>
  <si>
    <t>Ежемесячная денежная выплата нуждающимся в поддержке семьям при рождении в семье после 31 декабря 2012 года третьего и последующих детей</t>
  </si>
  <si>
    <t>3020153870, 
3025387</t>
  </si>
  <si>
    <t>3020105480, 
3020548</t>
  </si>
  <si>
    <t xml:space="preserve">Единовременное пособие беременной жене военнослужащего, проходящего военную службу по призыву, а также ежемесячное пособие на ребенка служащего, проходящего военную службу по призыву                    
</t>
  </si>
  <si>
    <t>3020152700, 
3025270</t>
  </si>
  <si>
    <t>Оказание единовременной материальной помощи семьям, направляющим детей-инвалидов на продолжительное лечение или операцию за пределы Удмуртской Республики</t>
  </si>
  <si>
    <t>3020103540, 
3020354</t>
  </si>
  <si>
    <t>Денежное вознаграждение награжденным знаком отличия «Материнская слава» и «Родительская слава»</t>
  </si>
  <si>
    <t>3020200000</t>
  </si>
  <si>
    <t>На реализацию Закона Удмуртской Республики от 7 октября 2005 года № 52-РЗ «Об учреждении знака отличия «Материнская слава»</t>
  </si>
  <si>
    <t>3020203600, 
3020360</t>
  </si>
  <si>
    <t>Единовременное денежное вознаграждение  для награжденных знаком отличия «Родительская слава»</t>
  </si>
  <si>
    <t>3020205710</t>
  </si>
  <si>
    <t>3020300000</t>
  </si>
  <si>
    <t>3020306770, 
3020203</t>
  </si>
  <si>
    <t xml:space="preserve">Осуществление мер по профилактике безнадзорности и правонарушений несовершеннолетних                                  </t>
  </si>
  <si>
    <t>3020400000</t>
  </si>
  <si>
    <t xml:space="preserve">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                  </t>
  </si>
  <si>
    <t>3020459400, 
3025940</t>
  </si>
  <si>
    <t>3020403990, 
3020399</t>
  </si>
  <si>
    <t xml:space="preserve">Расходы на осуществление деятельности, связанной с перевозкой в пределах Удмуртской Республики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t>
  </si>
  <si>
    <t>Уплата налога</t>
  </si>
  <si>
    <t>Уплата земельного налога</t>
  </si>
  <si>
    <t>Выполнение мероприятий по укреплению и развитию института семьи</t>
  </si>
  <si>
    <t>Реализация мер по стабилизации демографической ситуации в Удмуртской Республике</t>
  </si>
  <si>
    <t>3020605050</t>
  </si>
  <si>
    <t xml:space="preserve">Предоставление мер социальной поддержки многодетным семьям </t>
  </si>
  <si>
    <t>Предоставление безвозмездных субсидий многодетным семьям, признанным нуждающимися в улучшении жилищных условий, на строительство, реконструкцию, капитальный ремонт и приобретение жилых помещений</t>
  </si>
  <si>
    <t>3020604340</t>
  </si>
  <si>
    <t>3020604460</t>
  </si>
  <si>
    <t>Система мер  социальной поддержки детей-сирот и детей, оставшихся без попечения родителей</t>
  </si>
  <si>
    <t>Денежные компенсационные выплаты за питание детям-сиротам и детям, оставшимся без попечения родителей</t>
  </si>
  <si>
    <t>Денежные компенсационные выплаты по обеспечению детей-сирот и детей, оставшихся без попечения родителей, в том числе выпускников, одеждой и обувью</t>
  </si>
  <si>
    <t>Выплаты единовременного денежного пособия выпускникам образовательных организаций из числа детей-сирот и детей, оставшихся без попечения родителей</t>
  </si>
  <si>
    <t>Ежегодное пособие на приобретение учебной литературы и письменных принадлежностей в размере трехмесячной стипендии</t>
  </si>
  <si>
    <t>3020700000</t>
  </si>
  <si>
    <t>3020703780</t>
  </si>
  <si>
    <t>3020703790</t>
  </si>
  <si>
    <t>3020703800</t>
  </si>
  <si>
    <t>3020703870</t>
  </si>
  <si>
    <t>Обеспечение текущей деятельности домов -интернатов для престарелых и инвалидов, психоневрологических интернатов, детских домов-интернатов для умственно отсталых детей</t>
  </si>
  <si>
    <t>Оказание государственными учреждениями государственных услуг, выполнение работ, финансовое обеспечение деятельности государственных учреждений</t>
  </si>
  <si>
    <t>3030100000</t>
  </si>
  <si>
    <t>3030106770</t>
  </si>
  <si>
    <t xml:space="preserve">Обеспечение текущей деятельности бюджетного образовательного учреждения среднего профессионального образования "Сарапульский колледж для инвалидов"
</t>
  </si>
  <si>
    <t>3030200000</t>
  </si>
  <si>
    <t>3030206770</t>
  </si>
  <si>
    <t xml:space="preserve">Обеспечение текущей деятельности  социально-реабилитиционных центров, реабилитационных центров для детей и подростков с ограниченными возможностями, комплексных центров социального обслуживания населения, центров психолого-педагогической помощи населению </t>
  </si>
  <si>
    <t>3030300000</t>
  </si>
  <si>
    <t>3030306770</t>
  </si>
  <si>
    <t>Уплата налога на имущество</t>
  </si>
  <si>
    <t>Меры социальной поддержки работникам государственных учреждений Удмуртской Республики</t>
  </si>
  <si>
    <t>Ежемесячные компенсационные выплаты матерям (или другим родственникам, фактически осуществляющим уход за ребенком), состоящим в трудовых отношениях на условиях найма с организациями, и женщинам-военнослужащим, находящимся в отпуске по уходу за ребенком</t>
  </si>
  <si>
    <t>3030500000</t>
  </si>
  <si>
    <t>3030503820</t>
  </si>
  <si>
    <t>Укрепление материально - технической базы Минсоцполитики УР, его территориальных органов и подведомственных ему организаций</t>
  </si>
  <si>
    <t>3030600000</t>
  </si>
  <si>
    <t>Субсидии государственным учреждениям на укрепление материально-технической базы</t>
  </si>
  <si>
    <t>Расходы по подготовке Минсоцполитики УР, его территориальных органов и подведомственных ему организаций к отопительному сезону</t>
  </si>
  <si>
    <t>3030600680</t>
  </si>
  <si>
    <t>3030605800</t>
  </si>
  <si>
    <t xml:space="preserve">Мероприятия, направленные на улучшение положения и качества жизни пожилых людей </t>
  </si>
  <si>
    <t>Мероприятия по улучшению положения и качества жизни пожилых людей</t>
  </si>
  <si>
    <t>Адаптация объектов социальной инфраструктуры с целью доступности для инвалидов</t>
  </si>
  <si>
    <t>3030700000</t>
  </si>
  <si>
    <t>3030704900</t>
  </si>
  <si>
    <t>3030805170</t>
  </si>
  <si>
    <t>Мероприятия, направленные на обеспечение пожарной безопасности Минсоцполитики УР, его территориальных органов и подведомственных ему организаций</t>
  </si>
  <si>
    <t>Реализация мероприятий по обеспечению пожарной безопасности Минсоцполитики УР, его территориальных органов и подведомственных ему организаций</t>
  </si>
  <si>
    <t xml:space="preserve">Реализация социальных программ Удмуртской Республики 
</t>
  </si>
  <si>
    <t>Социальная  программа Удмуртской Республики  «Укрепление материально-технической базы учреждений социального обслуживания населения и  обучение компьютерной грамотности неработающих пенсионеров за счёт субсидии Пенсионного фонда Российской Федерации  и средств бюджета Удмуртской Республики»</t>
  </si>
  <si>
    <t xml:space="preserve">Развитие системы социального обслуживания граждан с применением механизмов государственно - частного партнерства </t>
  </si>
  <si>
    <t xml:space="preserve">Выплата компенсации поставщикам социальных услуг на территории Удмуртской Республики </t>
  </si>
  <si>
    <t>3030900000</t>
  </si>
  <si>
    <t>3030905110</t>
  </si>
  <si>
    <t>3031100000</t>
  </si>
  <si>
    <t>3031107390</t>
  </si>
  <si>
    <t>Расходы по организации предоставления государственных услуг Минсоцполитики УР и его территориальными органами</t>
  </si>
  <si>
    <t>3040100000</t>
  </si>
  <si>
    <t>3040104060</t>
  </si>
  <si>
    <t>Обеспечение текущей деятельности, руководство и управление в сфере установленных функций центрального аппарата Минсоцполитики УР</t>
  </si>
  <si>
    <t>Центральный аппарат</t>
  </si>
  <si>
    <t>Обеспечение текущей деятельности, руководство и управление в сфере установленных функций территориальных органов Минсоцоплитики УР</t>
  </si>
  <si>
    <t>Территориальные органы</t>
  </si>
  <si>
    <t>3040200000</t>
  </si>
  <si>
    <t>3040200030</t>
  </si>
  <si>
    <t>3040300000</t>
  </si>
  <si>
    <t>3040300070</t>
  </si>
  <si>
    <t>3040400000</t>
  </si>
  <si>
    <t>3040400620</t>
  </si>
  <si>
    <t>3040400640</t>
  </si>
  <si>
    <t xml:space="preserve">Обеспечение государственных полномочий, переданных органам местного самоуправления, в части  организации и осуществления деятельности по социальной поддержке отдельных категорий граждан </t>
  </si>
  <si>
    <t>Организация учета (регистрация) многодетных семей</t>
  </si>
  <si>
    <t>19</t>
  </si>
  <si>
    <t>3010152800</t>
  </si>
  <si>
    <t xml:space="preserve">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</si>
  <si>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3040500000</t>
  </si>
  <si>
    <t>3040507560</t>
  </si>
  <si>
    <t>310, 313</t>
  </si>
  <si>
    <t>240, 310, 313, 244</t>
  </si>
  <si>
    <t>340, 312</t>
  </si>
  <si>
    <t>310, 321,323</t>
  </si>
  <si>
    <t>3010604120</t>
  </si>
  <si>
    <t>3010604140</t>
  </si>
  <si>
    <t>3010604150</t>
  </si>
  <si>
    <t>3010604160</t>
  </si>
  <si>
    <t>3010604170</t>
  </si>
  <si>
    <t>3010604180</t>
  </si>
  <si>
    <t>3010606650</t>
  </si>
  <si>
    <t>3020100000</t>
  </si>
  <si>
    <t>30200000000</t>
  </si>
  <si>
    <t>320, 323</t>
  </si>
  <si>
    <t>240,310, 244,313</t>
  </si>
  <si>
    <t>240, 310, 244, 313</t>
  </si>
  <si>
    <t>310, 244, 313</t>
  </si>
  <si>
    <t>320, 321</t>
  </si>
  <si>
    <t>310</t>
  </si>
  <si>
    <t>240, 244</t>
  </si>
  <si>
    <t>240, 245</t>
  </si>
  <si>
    <t>240, 320</t>
  </si>
  <si>
    <t>240, 612</t>
  </si>
  <si>
    <t>240, 320, 612</t>
  </si>
  <si>
    <t>Обеспечение текущей деятельности автономного учреждения Удмуртской Республики «Загородный оздоровительный комплекс «Лесная сказка»</t>
  </si>
  <si>
    <t>120, 240, 850</t>
  </si>
  <si>
    <t>612, 622, 850</t>
  </si>
  <si>
    <t>Приложение 4</t>
  </si>
  <si>
    <t xml:space="preserve">Прогноз сводных показателей государственных заданий 
</t>
  </si>
  <si>
    <r>
      <t xml:space="preserve">__________«Социальная  поддержка граждан» </t>
    </r>
    <r>
      <rPr>
        <b/>
        <i/>
        <u/>
        <sz val="11"/>
        <color theme="1"/>
        <rFont val="Times New Roman"/>
        <family val="1"/>
        <charset val="204"/>
      </rPr>
      <t>______</t>
    </r>
  </si>
  <si>
    <t>Министерство социальной, семейной и демографической политики Удмуртской Республики_____</t>
  </si>
  <si>
    <t>Наименование государственной услуги (работы)</t>
  </si>
  <si>
    <t>Наименование показателя, характеризующего объем государственной услуги (работы)</t>
  </si>
  <si>
    <t>Единица измерения объема государственной услуги (работы)</t>
  </si>
  <si>
    <t>Расходы бюджета Удмуртской Республики на оказание государственной услуги (выполнение работы), тыс. рублей</t>
  </si>
  <si>
    <t>Наименование меры                                        государственного регулирования</t>
  </si>
  <si>
    <t>2013 г.</t>
  </si>
  <si>
    <t>2014 г.</t>
  </si>
  <si>
    <t xml:space="preserve">Организация отдыха детей и молодежи </t>
  </si>
  <si>
    <t>человек</t>
  </si>
  <si>
    <t xml:space="preserve">Численность граждан, получивщих социальные услуги </t>
  </si>
  <si>
    <t>Оздоровление и отдых детей</t>
  </si>
  <si>
    <t>Количество детей, обеспеченных оздоровлением и отдыхом, из них: находящихся в трудной жизненной ситуации</t>
  </si>
  <si>
    <t>Социальное обслуживание в социально-реабилитационных центрах для несовершеннолетних</t>
  </si>
  <si>
    <t>Среднемесячное количество обслуживаемых всеми отделениями учреждения</t>
  </si>
  <si>
    <t>Социальное обслуживание в реабилитационных центрах для детей и подростков с ограниченными возможностями</t>
  </si>
  <si>
    <t>Количество обслуженных в реабилитационном центре для детей и подростков с ограниченными возможностями</t>
  </si>
  <si>
    <t>Стационарное социальное обслуживание в домах-интернатах для престарелых и инвалидов</t>
  </si>
  <si>
    <t>Количество обслуженных граждан пожилого возраста и инвалидов</t>
  </si>
  <si>
    <t>Стационарное социальное обслуживание в психоневрологических интернатах</t>
  </si>
  <si>
    <t>Стационарное социальное обслуживание в детских домах-интернатах для умственно отсталых детей</t>
  </si>
  <si>
    <t>Количество обслуженных детей-инвалидов и инвалидов</t>
  </si>
  <si>
    <t>Реализация основных профессиональных образовательных программ среднего профессионального образования-программ подготовки квалифицированных рабочих, служащих</t>
  </si>
  <si>
    <t>Количество обучающихся по основным профессиональным образовательным программам среднего профессионального образования - программам подготовки</t>
  </si>
  <si>
    <t>Количество обучающихся по основным профессиональным образовательным программам СПО - программам подготовки специалистов среднего звена</t>
  </si>
  <si>
    <t>Количество обучающихся по основным программа профессионального обучения - программам профессиональной подготовки по профессиям рабочих, должностям служащих</t>
  </si>
  <si>
    <t>Социальное обслуживание в социально-реабилитационных центрах для граждан пожилого возраста и инвалидов</t>
  </si>
  <si>
    <t>Социальное обслуживание в центрах социальной помощи семье и детям</t>
  </si>
  <si>
    <t xml:space="preserve">Количество граждан, обслуженных всеми отделениями центра социальной помощи семье и детям </t>
  </si>
  <si>
    <t>Социальное обслуживание в комплексных центрах социального обслуживания населения</t>
  </si>
  <si>
    <t>Ежемесячное плановое количество обслуженных граждан всеми структурными подразделениями</t>
  </si>
  <si>
    <t>План по количеству обслуженных граждан всеми структурными подразделениями</t>
  </si>
  <si>
    <t>Значение показателя объема государственной услуги (работы)</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</si>
  <si>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"38.00.00 Экономика и управление"</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</si>
  <si>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 по укрупненной группе направлений подготовки и специальностей (профессий) "13.00.00 ЭЛЕКТРО- И ТЕПЛОЭНЕРГЕТИКА"</t>
  </si>
  <si>
    <t>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на базе основного общего образования по укрупненной группе направлений подготовки и специальностей (профессий) "29.00.00 ТЕХНОЛОГИИ ЛЕГКОЙ ПРОМЫШЛЕННОСТИ"</t>
  </si>
  <si>
    <t>Среднегодовой контингент учащихся</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</si>
  <si>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на базе среднего общего образования по укрупненной группе направлений подготовки и специальностей (профессий) "11.00.00 ЭЛЕКТРОНИКА, РАДИОТЕХНИКА И СИСТЕМЫ СВЯЗИ"</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</si>
  <si>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</si>
  <si>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</si>
  <si>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</si>
  <si>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</si>
  <si>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Организация мероприятий, направленных на профилактику ассоциального и дестркутивного поведения подростков и молодежи, поддержка детей и молодежи, находящейся в социально-опасном положении</t>
  </si>
  <si>
    <t>Численность граждан, получивших социальные услуги</t>
  </si>
  <si>
    <t xml:space="preserve">Количество отчетов, составленных по результатам работы </t>
  </si>
  <si>
    <t>штук</t>
  </si>
  <si>
    <t>численнсть семей, получивших социальные услуги</t>
  </si>
  <si>
    <t>количество мероприятий</t>
  </si>
  <si>
    <t>Количество человек</t>
  </si>
  <si>
    <t>_____________».</t>
  </si>
  <si>
    <t>«Приложение 4</t>
  </si>
  <si>
    <t>«Приложение 5</t>
  </si>
  <si>
    <t>к постановлению Правительства
Удмуртской Республики 
от «___»    _______ 2016 года № ___</t>
  </si>
  <si>
    <t>к постановлению Правительства
Удмуртской Республики 
от  «___»    _______ 2016 года № ___</t>
  </si>
  <si>
    <t>Централизованные мероприятия Минсоцполитики УР</t>
  </si>
  <si>
    <t>3035027</t>
  </si>
  <si>
    <t xml:space="preserve">Министерство по физической культуре, спорту и молодежной политике Удмуртской Республики
</t>
  </si>
  <si>
    <t xml:space="preserve">Министерство здравоохранения Удмуртской Республики
</t>
  </si>
  <si>
    <t xml:space="preserve">Министерство культуры и туризма Удмуртской Республики
</t>
  </si>
  <si>
    <t>Министерство культуры и туризма Удмуртской Республики</t>
  </si>
  <si>
    <t>3030580</t>
  </si>
  <si>
    <t>Расходы на подготовку учреждений к отопительному сезону</t>
  </si>
  <si>
    <t>3035209</t>
  </si>
  <si>
    <t>3030387</t>
  </si>
  <si>
    <t>3030800000,
3030517</t>
  </si>
  <si>
    <t>3031005140,
3030514</t>
  </si>
  <si>
    <t>Административное обеспечение деятельности организации (Сбор и обработка статистической информации; Социальная защита населения; )</t>
  </si>
  <si>
    <t>Административное обеспечение деятельности организации (Информационно-аналитическое обеспечение; Социальная защита населения; )</t>
  </si>
  <si>
    <t>Административное обеспечение деятельности организации (Проведение мониторинга; Социальная защита населения; )</t>
  </si>
  <si>
    <t>Административное обеспечение деятельности организации (Проведение анализа; Социальная защита населения; )</t>
  </si>
  <si>
    <t xml:space="preserve">Предоставление государственной социальной помощи  </t>
  </si>
  <si>
    <t>310,
320,
240,
340</t>
  </si>
  <si>
    <t>320,
310,
240</t>
  </si>
  <si>
    <t>621</t>
  </si>
  <si>
    <t>3020600000, 
3020505</t>
  </si>
  <si>
    <t>530,
240,
320</t>
  </si>
  <si>
    <t>3020605050,
3020505</t>
  </si>
  <si>
    <t>3020605050,
3020506</t>
  </si>
  <si>
    <t>110, 240,
320, 611,
621, 850</t>
  </si>
  <si>
    <t>612,
240</t>
  </si>
  <si>
    <t>240,
320,
612</t>
  </si>
  <si>
    <t>240,
612</t>
  </si>
  <si>
    <t>120,
240,
850</t>
  </si>
  <si>
    <t>612,
622,
850</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</si>
  <si>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(дома -интернаты для престарелых и инвалидов, психоневрологические интернаты, детские дома-интернаты для умственно отсталых детей)</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</si>
  <si>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(социально-реабилитиционные центры, реабилитационные центры для детей и подростков с ограниченными возможностями, комплексные центры социального обслуживания населения )</t>
  </si>
  <si>
    <t>Обеспечение текущей деятельности учреждений социального обслуживания</t>
  </si>
  <si>
    <t>Субсидии бюджетным учреждениям на финансовое обеспечение государственного задания на оказание государственных услуг</t>
  </si>
  <si>
    <t>3010100000</t>
  </si>
  <si>
    <t xml:space="preserve">3030388,
3030389,
</t>
  </si>
  <si>
    <t>3030345-3030348,
3030390,
3030568,
3030625,
3030626</t>
  </si>
  <si>
    <t>612,
622</t>
  </si>
  <si>
    <t xml:space="preserve">3031000000,
3035209
</t>
  </si>
  <si>
    <t>110, 240,
320, 621, 850</t>
  </si>
  <si>
    <t>110, 240,
320, 611, 621, 850</t>
  </si>
  <si>
    <t>3025260, 3020633, 3020376, 3020441, 3020442</t>
  </si>
  <si>
    <t>320, 530</t>
  </si>
  <si>
    <t>3020425, 3020426, 3020571, 3020435</t>
  </si>
  <si>
    <t>Социальная поддержка граждан</t>
  </si>
  <si>
    <t>3030805170
3030517</t>
  </si>
  <si>
    <t>3030850270
3035027</t>
  </si>
  <si>
    <t>Министерство труда и миграционной политики Удмуртской Республики</t>
  </si>
  <si>
    <t>Приложение 3</t>
  </si>
  <si>
    <t xml:space="preserve">3030850270
</t>
  </si>
  <si>
    <t>3</t>
  </si>
  <si>
    <t xml:space="preserve">Обеспечение текущей деятельности бюджетного профессионального образовательного учреждения "Сарапульский колледж для инвалидов"
</t>
  </si>
  <si>
    <t>субсдии из федерального бюджета</t>
  </si>
  <si>
    <t>2</t>
  </si>
  <si>
    <t>4</t>
  </si>
  <si>
    <t>Оценка расходов, тыс. рублей</t>
  </si>
  <si>
    <t>Расходы бюджета Удмуртской Республики, тыс. рублей</t>
  </si>
  <si>
    <t>612,
240
465</t>
  </si>
  <si>
    <t>№ п/п</t>
  </si>
  <si>
    <t>Наименование целевого показателя (индикатора)</t>
  </si>
  <si>
    <t>Единица измерения</t>
  </si>
  <si>
    <t>Значения целевых показателей (индикаторов)</t>
  </si>
  <si>
    <t>2011 год</t>
  </si>
  <si>
    <t>2012 год</t>
  </si>
  <si>
    <t>отчет</t>
  </si>
  <si>
    <t>факт</t>
  </si>
  <si>
    <t xml:space="preserve">Государственная программа «Социальная поддержка граждан»  </t>
  </si>
  <si>
    <t>0</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</si>
  <si>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t>
  </si>
  <si>
    <t>%</t>
  </si>
  <si>
    <t>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</si>
  <si>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Доля вторых и последующих рождений от общей численности рождений в Удмуртской Республике</t>
  </si>
  <si>
    <t xml:space="preserve">Подпрограмма 1 «Развитие мер социальной поддержки отдельных категорий граждан» </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</si>
  <si>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t>
  </si>
  <si>
    <t xml:space="preserve">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t>
  </si>
  <si>
    <t xml:space="preserve">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t>
  </si>
  <si>
    <t xml:space="preserve">Подпрограмма 2  «Реализация демографической и семейной политики, совершенствование социальной поддержки семей с детьми» </t>
  </si>
  <si>
    <t>Cуммарный коэффициент рождаемости</t>
  </si>
  <si>
    <t>единиц</t>
  </si>
  <si>
    <t>Удельный вес детей, находящихся в социально опасном положении, в общей численности детского населения Удмуртской Республики</t>
  </si>
  <si>
    <t xml:space="preserve">Подпрограмма 3  «Модернизация и развитие социального обслуживания населения» </t>
  </si>
  <si>
    <t>Обеспеченность стационарными организациями социального обслуживания</t>
  </si>
  <si>
    <t>мест на 10 тыс. жителей</t>
  </si>
  <si>
    <t>Удельный вес детей-инвалидов, получивших социальные услуги в организациях социального обслуживания, в общей численности детей-инвалидов</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</si>
  <si>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</si>
  <si>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t>
  </si>
  <si>
    <t>тыс. человек</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</si>
  <si>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t>
  </si>
  <si>
    <t xml:space="preserve">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t>
  </si>
  <si>
    <r>
      <t xml:space="preserve">Подпрограмма 4  </t>
    </r>
    <r>
      <rPr>
        <sz val="12"/>
        <rFont val="Times New Roman"/>
        <family val="1"/>
        <charset val="204"/>
      </rPr>
      <t>«</t>
    </r>
    <r>
      <rPr>
        <b/>
        <sz val="12"/>
        <rFont val="Times New Roman"/>
        <family val="1"/>
        <charset val="204"/>
      </rPr>
      <t xml:space="preserve">Создание условий для реализации государственной программы» </t>
    </r>
  </si>
  <si>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t>
  </si>
  <si>
    <t>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№97</t>
  </si>
  <si>
    <t>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t>
  </si>
  <si>
    <t>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t>
  </si>
  <si>
    <t>минут</t>
  </si>
  <si>
    <t>не более 15</t>
  </si>
  <si>
    <t>Прирост инвестиций в основной капитал без учета бюджетных средств</t>
  </si>
  <si>
    <t>%  от предыдущего года</t>
  </si>
  <si>
    <t>20</t>
  </si>
  <si>
    <t>Расходы на осуществление ежемесячной денежной компенсации отдельным категориям граждан оплаты взноса на капитальный ремонт общего имущества в многоквартивном доме</t>
  </si>
  <si>
    <t>Реализация демографической и семейной политики, совершенствование социальной поддержки семей с детьми</t>
  </si>
  <si>
    <t>Организация деятельности специализированных (профильных) лагерей</t>
  </si>
  <si>
    <t>Численность семей, получивших социальные услуги</t>
  </si>
  <si>
    <t>Единица</t>
  </si>
  <si>
    <t xml:space="preserve">Количество человеко-часов* </t>
  </si>
  <si>
    <t>Человеко-час</t>
  </si>
  <si>
    <t>Реализация образовательных программ среднего профессионального образования - программ подготовки квалифицированных рабочих, служащих</t>
  </si>
  <si>
    <t>Численность обучающихся</t>
  </si>
  <si>
    <t>Человек</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</si>
  <si>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t>
  </si>
  <si>
    <t>Реализация образовательных программ среднего профессионального образования - программ подготовки специалистов среднего звена</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</si>
  <si>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</si>
  <si>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 xml:space="preserve">Количество мероприятий </t>
  </si>
  <si>
    <t>Штука</t>
  </si>
  <si>
    <t>Предоставление срочных социальных услуг</t>
  </si>
  <si>
    <t xml:space="preserve">120,
240
</t>
  </si>
  <si>
    <t>минздрав</t>
  </si>
  <si>
    <t>Бюджет Удмуртской Республики, в том числе:</t>
  </si>
  <si>
    <t>Субсидии и субвенции из федерального бюджета, планируемые к получению</t>
  </si>
  <si>
    <t>Бюджеты муниципальных образований в Удмуртской Республике</t>
  </si>
  <si>
    <t>Иные источники</t>
  </si>
  <si>
    <t>Всего</t>
  </si>
  <si>
    <t>_____________</t>
  </si>
  <si>
    <t>____________</t>
  </si>
  <si>
    <t>_______________</t>
  </si>
  <si>
    <t xml:space="preserve">           Отчет об использовании бюджетных ассигнований бюджета</t>
  </si>
  <si>
    <t xml:space="preserve">       Удмуртской Республики на реализацию государственной программы</t>
  </si>
  <si>
    <r>
      <t xml:space="preserve">    Наименование государственной программы  </t>
    </r>
    <r>
      <rPr>
        <b/>
        <u/>
        <sz val="10"/>
        <rFont val="Times New Roman"/>
        <family val="1"/>
        <charset val="204"/>
      </rPr>
      <t>«Социальная поддержка граждан»</t>
    </r>
  </si>
  <si>
    <t xml:space="preserve">                                 (указать наименование государственной программы)</t>
  </si>
  <si>
    <t xml:space="preserve">                                            </t>
  </si>
  <si>
    <t xml:space="preserve">Приложение </t>
  </si>
  <si>
    <t>Форма 2</t>
  </si>
  <si>
    <t xml:space="preserve">         Отчет о расходах на реализацию государственной программы</t>
  </si>
  <si>
    <t xml:space="preserve">                  за счет всех источников финансирования</t>
  </si>
  <si>
    <r>
      <t xml:space="preserve">    Наименование государственной программы  </t>
    </r>
    <r>
      <rPr>
        <b/>
        <u/>
        <sz val="10"/>
        <color theme="1"/>
        <rFont val="Times New Roman"/>
        <family val="1"/>
        <charset val="204"/>
      </rPr>
      <t xml:space="preserve"> «Социальная поддержка граждан»</t>
    </r>
  </si>
  <si>
    <t>Форма 4</t>
  </si>
  <si>
    <r>
      <t xml:space="preserve">    Наименование государственной программы  </t>
    </r>
    <r>
      <rPr>
        <b/>
        <u/>
        <sz val="12"/>
        <color theme="1"/>
        <rFont val="Times New Roman"/>
        <family val="1"/>
        <charset val="204"/>
      </rPr>
      <t>«Социальная поддержка граждан»</t>
    </r>
  </si>
  <si>
    <t>Форма 5</t>
  </si>
  <si>
    <t xml:space="preserve">      Отчет о достигнутых значениях целевых показателей (индикаторов)</t>
  </si>
  <si>
    <t xml:space="preserve">                         государственной программы</t>
  </si>
  <si>
    <r>
      <t xml:space="preserve">    Наименование государственной программы  </t>
    </r>
    <r>
      <rPr>
        <b/>
        <u/>
        <sz val="10"/>
        <color theme="1"/>
        <rFont val="Times New Roman"/>
        <family val="1"/>
        <charset val="204"/>
      </rPr>
      <t>«Социальная поддержка граждан»</t>
    </r>
  </si>
  <si>
    <t>____________________________________</t>
  </si>
  <si>
    <t>постановление Правительства Удмуртской Республики</t>
  </si>
  <si>
    <t>бюджетные ассигнования из бюджета Удмуртской Республики на реализацию мероприятий государственной программы приводятся в соответствие с Законом Удмуртской Республики от 18 декабря 2015 года         № 95-РЗ «О бюджете Удмуртской Республики на 2016 год»</t>
  </si>
  <si>
    <t>Суть изменений (краткое изложение)</t>
  </si>
  <si>
    <t>Номер</t>
  </si>
  <si>
    <t>Дата принятия</t>
  </si>
  <si>
    <t>Вид нормативного правового акта</t>
  </si>
  <si>
    <t>N п/п</t>
  </si>
  <si>
    <t xml:space="preserve">        Сведения о внесенных в государственную программу изменениях</t>
  </si>
  <si>
    <t>Форма 6</t>
  </si>
  <si>
    <t>Кассовые расходы, в %</t>
  </si>
  <si>
    <t>к плану на 1 января отчетного года</t>
  </si>
  <si>
    <t>к плану на 31 декабря отчетного года</t>
  </si>
  <si>
    <t>сводная бюджетная роспись, план на 1 января отчетного года</t>
  </si>
  <si>
    <t>сводная бюджетная роспись на отчетную дату</t>
  </si>
  <si>
    <t>кассовое исполнение на отчетную дату</t>
  </si>
  <si>
    <r>
      <t xml:space="preserve">    Ответственный исполнитель </t>
    </r>
    <r>
      <rPr>
        <b/>
        <u/>
        <sz val="10"/>
        <rFont val="Times New Roman"/>
        <family val="1"/>
        <charset val="204"/>
      </rPr>
      <t>Министерство социальной политики и труда Удмуртской Республики</t>
    </r>
  </si>
  <si>
    <t>от «___»____________2018 года №_________</t>
  </si>
  <si>
    <t>21</t>
  </si>
  <si>
    <t>3010105870</t>
  </si>
  <si>
    <t>30101R4620</t>
  </si>
  <si>
    <t>Осуществление ежемесячной денежной компенсации отдельным категориям граждан оплаты взноса на капитальный ремонт общего имущества в многоквартивном доме</t>
  </si>
  <si>
    <t>Представление общественным объединениям субсидий из бюджета Удмуртской Республики на разработку и проведение мероприятий по социальной поддержке отдельных категорий граждан</t>
  </si>
  <si>
    <t>не было</t>
  </si>
  <si>
    <t>3020153800</t>
  </si>
  <si>
    <t>3020103590</t>
  </si>
  <si>
    <t>3020103710</t>
  </si>
  <si>
    <t>3020103620</t>
  </si>
  <si>
    <t>3020105480</t>
  </si>
  <si>
    <t>3020152700</t>
  </si>
  <si>
    <t>3020103540</t>
  </si>
  <si>
    <t>3010151370</t>
  </si>
  <si>
    <t>3010105530</t>
  </si>
  <si>
    <t>3010103730</t>
  </si>
  <si>
    <t>3010103720</t>
  </si>
  <si>
    <t>3010105540</t>
  </si>
  <si>
    <t>3010103740</t>
  </si>
  <si>
    <t>30101052500</t>
  </si>
  <si>
    <t>3010152200</t>
  </si>
  <si>
    <t>3010103570</t>
  </si>
  <si>
    <t>3020203600</t>
  </si>
  <si>
    <t>3020306770</t>
  </si>
  <si>
    <t>3020459400</t>
  </si>
  <si>
    <t>3020403990</t>
  </si>
  <si>
    <t xml:space="preserve">3031000000
</t>
  </si>
  <si>
    <t>3030621110</t>
  </si>
  <si>
    <t>30306R1110</t>
  </si>
  <si>
    <t>3030606230</t>
  </si>
  <si>
    <t>Капитальные вложения в объекты государственной собственности субъектов Российской Федерации (за счет средств бюджета Удмуртской Республики сверх установленного уровня софинансирования)</t>
  </si>
  <si>
    <t>Капитальные вложения в объекты государственной собственности субъектов Российской Федерации</t>
  </si>
  <si>
    <t>Приобретение объектов недвижимого имущества в собственность Удмуртской Республики</t>
  </si>
  <si>
    <t>не  было</t>
  </si>
  <si>
    <t xml:space="preserve">Адаптация объектов социальной инфраструктуры с целью доступности для инвалидов и другие мероприятия в рамках реализации государственной программы Российской Федерации "Доступная среда"
</t>
  </si>
  <si>
    <t>3031005140</t>
  </si>
  <si>
    <t>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</si>
  <si>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3031052090</t>
  </si>
  <si>
    <t>Отношение фактических расходов к оценке расходов, %</t>
  </si>
  <si>
    <t xml:space="preserve">Оценка расходов (согласно государственной программе)
</t>
  </si>
  <si>
    <t>Фактические расходы на отчетную дату</t>
  </si>
  <si>
    <t>к письму Министерства социальной</t>
  </si>
  <si>
    <t>политики  и труда Удмуртской Республики</t>
  </si>
  <si>
    <t>политики и труда  Удмуртской Республики</t>
  </si>
  <si>
    <r>
      <t xml:space="preserve">    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</si>
  <si>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план</t>
  </si>
  <si>
    <t xml:space="preserve">к письму Министерства социальной </t>
  </si>
  <si>
    <t>политики и труда Удмуртской Республики</t>
  </si>
  <si>
    <t xml:space="preserve">          по государственной программе</t>
  </si>
  <si>
    <t xml:space="preserve"> государственными учреждениями Удмуртской Республики</t>
  </si>
  <si>
    <t>на оказание государственных услуг, выполнение государственных работ</t>
  </si>
  <si>
    <t>Отчет о выполнении сводных показателей государственных заданий</t>
  </si>
  <si>
    <t>Форма 1</t>
  </si>
  <si>
    <t>Значение целевого показателя (индикатора) в году, предшествующему отчетному</t>
  </si>
  <si>
    <t>план на текущий год</t>
  </si>
  <si>
    <t>значение на конец отчетного года</t>
  </si>
  <si>
    <t>Выполнение, % (п.п)</t>
  </si>
  <si>
    <t>Обоснование отклонений значений целевого показателя (индикатора) на конец отчетного периода</t>
  </si>
  <si>
    <t xml:space="preserve">к письму Министерства социальной  </t>
  </si>
  <si>
    <r>
      <t xml:space="preserve">Наименование государственной программы  </t>
    </r>
    <r>
      <rPr>
        <b/>
        <u/>
        <sz val="10"/>
        <color theme="1"/>
        <rFont val="Times New Roman"/>
        <family val="1"/>
        <charset val="204"/>
      </rPr>
      <t xml:space="preserve"> «Социальная поддержка граждан»</t>
    </r>
  </si>
  <si>
    <t xml:space="preserve">                                              (указать наименование государственной программы)</t>
  </si>
  <si>
    <t xml:space="preserve">бюджетные ассигнования из бюджета Удмуртской Республики на реализацию мероприятий государственной программы приводятся в соответствии с Законом Удмуртской Республики от 18 декабря 2015 года  № 95-РЗ «О бюджете Удмуртской Республики на 2016 год» в редакции от  28 сентября 2016 года. А также в соответствии с Распоряжения Главы Удмуртской Республики от 29 июля 20156 года № 324-РГ «Об утверждении Комплексного плана мероприятий Удмуртской Республики по обеспечению поэтапного доступа социально ориентированных некоммерческих организаций, осуществляющих деятельность в социальной сфере, к бюджетным средствам, выделяемым на предоставление услуг населению в социальной сфере, использованию различных форм поддержки деятельности социально ориентированных некоммерческих организаций» государственная программа дополнена целевыми показателями по обеспечению поэтапного доступа социально ориентированных некоммерческих организаций, осуществляющих деятельность в социальной сфере,к бюджетным средствам. </t>
  </si>
  <si>
    <t>бюджетные ассигнования из бюджета Удмуртской Республики на реализацию мероприятий государственной программы приводятся в соответствие с Законом Удмуртской Республики от 26 декабря 2016 года         № 95-РЗ «О бюджете Удмуртской Республики на 2017 год и на плановый период 2018 и 2019 годов». Также в приложении 1 к государственной программе скорректировано значение за 2015 год по Целевому показателю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</si>
  <si>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612, 622</t>
  </si>
  <si>
    <t xml:space="preserve">В результате проведения реконструкции  введено в эксплуатацию здание АСУСО УР «Сарапульский психоневрологический интернат», переданные площади приведены к требованиям пожарной безопасности, санитарно-гигиенических норм, улучшены условия проживания и обслуживания 26 граждан пожилого возраста и инвалидов. На сегодняшний день стационарных учреждений, находящихся в ветхом или аварийном состоянии в республике нет. </t>
  </si>
  <si>
    <t>2,006 (данные за 2015 год)</t>
  </si>
  <si>
    <t>1,934*</t>
  </si>
  <si>
    <t>1,956**</t>
  </si>
  <si>
    <t>4,17 п.п.</t>
  </si>
  <si>
    <t>0,15 п.п.</t>
  </si>
  <si>
    <t>0 п.п.</t>
  </si>
  <si>
    <t>12 п.п.</t>
  </si>
  <si>
    <t>0,9 п.п.</t>
  </si>
  <si>
    <t>1,1 п.п.</t>
  </si>
  <si>
    <t>0,2 п.п.</t>
  </si>
  <si>
    <t>1,4 п.п.</t>
  </si>
  <si>
    <t>2 п.п.</t>
  </si>
  <si>
    <t>0,8 п.п.</t>
  </si>
  <si>
    <t>Уровень выполнения значений целевых показателей (индикаторов) государственной программы</t>
  </si>
  <si>
    <t>не менее 90</t>
  </si>
  <si>
    <t>Итого (колледж)</t>
  </si>
  <si>
    <t>Прирост технической готовности объекта государственной собственности "Автономное учреждение социального обслуживания Удмуртской Республики "Республиканский реабилитационный центр для детей и подростков с ограниченными возможностями"</t>
  </si>
  <si>
    <t>-</t>
  </si>
  <si>
    <t>Количество заключенных Соглашений (с дорожными картами) о сопровождении проектов в соответствии с регламентом "одно окно" с нарастающим итогом</t>
  </si>
  <si>
    <t>ед.</t>
  </si>
  <si>
    <t>Количество проведенных конкурсов на право заключения соглашений государственно-частного партнерства и концессионных соглашений, в том числе заключенных соглашений государственно-частного партнерства и концессионных соглашений с участием Удмуртской Республики</t>
  </si>
  <si>
    <t>В 2016 году 123,9 млн. руб., в том числе средства мецената на строительство «Республиканского реабилитационного центра для детей и подростков с ограниченными возможностями» в сумме 108,0 млн. руб. А также в рамках энергосервисных контрастов переоборудована котельная в Бюджетном стационарном учреждении социального обслуживания Удмуртской Республики «Канифольный детский дом-интернат для умственно отсталых детей» стоимостью 15,9 млн. руб. В 2017 года привлечено 170,4 млн. руб. на завершение строительства «Республиканского реабилитационного центра для детей и подростков с ограниченными возможностями». Средства поступили от благотворительного фонда  «Сафмар» и АО БелкаНефть имени А.А. Волкова. Показатель ваполнен</t>
  </si>
  <si>
    <t>100%</t>
  </si>
  <si>
    <t>100 %</t>
  </si>
  <si>
    <t>101,1%</t>
  </si>
  <si>
    <t>34,2 п.п.</t>
  </si>
  <si>
    <t>Удмуртской Республики</t>
  </si>
  <si>
    <t>Форма 3</t>
  </si>
  <si>
    <t xml:space="preserve">     Отчет о выполнении основных мероприятий государственной программы</t>
  </si>
  <si>
    <r>
      <t xml:space="preserve">Наименование государственной программы </t>
    </r>
    <r>
      <rPr>
        <b/>
        <u/>
        <sz val="12"/>
        <color theme="1"/>
        <rFont val="Times New Roman"/>
        <family val="1"/>
        <charset val="204"/>
      </rPr>
      <t>«Социальная поддержка граждан»</t>
    </r>
  </si>
  <si>
    <r>
      <t xml:space="preserve">Ответственный исполнитель </t>
    </r>
    <r>
      <rPr>
        <b/>
        <u/>
        <sz val="12"/>
        <color theme="1"/>
        <rFont val="Times New Roman"/>
        <family val="1"/>
        <charset val="204"/>
      </rPr>
      <t>Министерство социальной политики и труда Удмуртской Республики</t>
    </r>
  </si>
  <si>
    <t>Наименование/ подпрограммы/ основного мероприятия/ мероприятия</t>
  </si>
  <si>
    <t>Ответственный исполнитель (ФИО, должность)</t>
  </si>
  <si>
    <t>Срок выполнения плановый</t>
  </si>
  <si>
    <t>Срок выполнения фактический</t>
  </si>
  <si>
    <t>Ожидаемый непосредственный результат, целевой показатель (индикатор)</t>
  </si>
  <si>
    <t>Достигнутый результат, целевой показатель (индикатор)</t>
  </si>
  <si>
    <t>Проблемы, возникшие в ходе реализации мероприятия</t>
  </si>
  <si>
    <t>В течение года</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</si>
  <si>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поддержки-98,4%;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-27%;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-29%</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</si>
  <si>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поддержки-99,8%;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-29%;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-29,8%</t>
  </si>
  <si>
    <t>Белоусова М.Е., заместитель министра
Соболева С.В., начальник отдела социальных выплат</t>
  </si>
  <si>
    <t>Соцподдержка в виде денежной выплаты предоставляется ежемесячно  126,0 тыс. ветеранам труда Удмуртской Республики</t>
  </si>
  <si>
    <t xml:space="preserve">Ежемесячные денежные выплаты получили 126,4 тыс. ветеранов труда </t>
  </si>
  <si>
    <t>Соцподдержка в виде денежной выплаты предоставляется ежемесячно 10,0 тыс.труженикам тыла</t>
  </si>
  <si>
    <t>Ежемесячную денежную выплату получили 8,5 тыс.тружеников тыла</t>
  </si>
  <si>
    <t xml:space="preserve">естественная убыль </t>
  </si>
  <si>
    <t>Соцподдержка в виде денежной выплаты предоставляется ежемесячно 1,0 тыс. реабилитированным лицам и лицам, признанным пострадавшими от политических репрессий</t>
  </si>
  <si>
    <t>Ежемесячную денежную выплату получили  1,07 тыс. реабилитированных лиц и лиц, признанных пострадавшими от политических репрессий</t>
  </si>
  <si>
    <t>Саламатова Е.Г., заместитель министра 
Иутина О.В., начальник управления мер социальной поддержки
Рубцов Д.Н., начальник управления по экономике и финансам</t>
  </si>
  <si>
    <t>Предоставление 125,0 тыс. ветеранам труда ежемесячных денежных компенсаций  расходов на оплату жилого помещения и коммунальных услуг</t>
  </si>
  <si>
    <t>Выплаты предоставлены 134, 9 тыс. получателям</t>
  </si>
  <si>
    <t>Предоставление 1,0 тыс. реабилитированным лицам и лицам, признанным пострадавшими от политических репрессий,  ежемесячных денежных компенсаций  расходов на оплату жилого помещения и коммунальных услуг</t>
  </si>
  <si>
    <t>Выплаты предоставлены 1, 07 тыс. получателям.</t>
  </si>
  <si>
    <t xml:space="preserve">Предоставление отдельным категориям граждан (федеральным льготникам) ежемесячных денежных компенсаций расходов на оплату жилого помещения и коммунальных услуг (не менее 130,0 тыс.чел.) 
</t>
  </si>
  <si>
    <t>Выплаты предоставлены 132,2 тыс. гражданам.</t>
  </si>
  <si>
    <t>Меры социальной поддержки получат ежегодно 4,2  тыс. граждан, награжденных знаком «Почетный донор»</t>
  </si>
  <si>
    <t>Меры социальной поддержки получили  4,4 тыс. граждан, награжденных знаком «Почетный донор».</t>
  </si>
  <si>
    <t xml:space="preserve">Оказание государственной социальной помощи не менее 2,0 тыс.  граждан, в том числене не  менее 90 семьям на основании социального контракта </t>
  </si>
  <si>
    <t>Материальная помощь оказана 4,8 тыс. получателям, в том числе 107 в форме социального контракта.</t>
  </si>
  <si>
    <t>Единовременная денежная выплата супружеским парам, отмечающим 50-, 55-, 60-, 65-, 70-, 75-летие совместной жизни, предоставляется в размере 3448 рублей (более 1500 супружеских пар в год)</t>
  </si>
  <si>
    <t>Выплаты произведены 1833 супружеским парам.</t>
  </si>
  <si>
    <t xml:space="preserve"> Государственное пособие на погребение  (в случаях, установленных Федеральным законом от 12.01.1996 № 8-ФЗ) предоставляется около 2,6 тыс. чел. 
</t>
  </si>
  <si>
    <t xml:space="preserve"> Государственное пособие на погребение предоставлена 2,2 тыс. чел. 
</t>
  </si>
  <si>
    <t>Понижение уровня смертности в УР</t>
  </si>
  <si>
    <t>Выплата ежемесячного денежного вознаграждения 26 гражданам, удостоенным звания «Почетный гражданин Удмуртской Республики», и 6 вдовам почетных граждан</t>
  </si>
  <si>
    <t>Производится выплата ежемесячного денежного вознаграждения 26 гражданам, удостоенным звания «Почетный гражданин Удмуртской Республики», и 8 вдовам почетных граждан</t>
  </si>
  <si>
    <t xml:space="preserve">62 инвалида боевых действий, проходивших военную службу по призыву, получат ежегодную денежную выплату в размере от 8,2 тыс. рублей до 16,4 тыс. рублей в год в зависимости от группы инвалидности </t>
  </si>
  <si>
    <t xml:space="preserve">60 инвалидов боевых действий, проходивших военную службу по призыву, получили ежегодную денежную выплату </t>
  </si>
  <si>
    <t>Дополнительное пенсионное обеспечение предоставляется более 810 гражданам</t>
  </si>
  <si>
    <t>Дополнительное пенсионное обеспечение предоставлено 885 гражданам</t>
  </si>
  <si>
    <t xml:space="preserve">Коньков К.В., заместитель министра
Вахрамеев В.В., начальник отдела по делам инвалидов
</t>
  </si>
  <si>
    <t xml:space="preserve">Материальная поддержка учащихся Сарапульского колледжа для инвалидов </t>
  </si>
  <si>
    <t>Оказана материальная поддержка учащихся в виде стипендии</t>
  </si>
  <si>
    <t>Предоставление меры социальной поддержки отдельным категориям граждан, родившимся ранее 1 января 1946 года и не получающим меры социальной поддержки по другим законам.     
Осуществление ежемесячной денежной выплаты позволит улучшить качество жизни следующим категориям граждан: граждане, родившиеся по 31 декабря 1937 года включительно;                                                                                            граждане, родившиеся по 31 декабря 1945 года включительно,  имеющие страховой стаж не менее 45 лет для мужчин и 40 лет для женщин.</t>
  </si>
  <si>
    <t>Выплаты предоставлены  5 673 получателям</t>
  </si>
  <si>
    <t>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Удмуртской Республики и гарантиях спасателям аварийно-спасательных служб Удмуртской Республики»</t>
  </si>
  <si>
    <t>Пенсионное обеспечение  более 26 (гарантия социальной защиты)  лицам,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</si>
  <si>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Пенсионное обеспечение 25 лицам,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</si>
  <si>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Заявительный принцип, уменьшение количества получателей в связи с окоечанием срока выплаты (выплата назначается до достижения пенсионного возраста)</t>
  </si>
  <si>
    <t>Соцподдержку в виде пособий и компенсационных выплат получат 2,2 тыс. чел.</t>
  </si>
  <si>
    <t>Соцподдержку в виде пособий и компенсационных выплат получили 2,2 тыс. чел.</t>
  </si>
  <si>
    <t xml:space="preserve">Ежемесячное пособие при возникновении поствакцинальных осложнений выплачивается 8 гражданам в год       </t>
  </si>
  <si>
    <t>Ежемесячное пособие получили 4 чел.</t>
  </si>
  <si>
    <t>Инвалидам выплачиваются компенсации страховых премий по договорам ОСАГО по факту обращения</t>
  </si>
  <si>
    <t>Компенсация страховой премии по договору ОСАГО назначена и выплачена 46 инвалидам на общую сумму 85 485,57 руб.</t>
  </si>
  <si>
    <t>Предоставление более 7 тыс. отдельным категориям граждан, достигшим возрата 70 лет и 80 лет,  ежемесячных денежных компенсаций  расходов на уплату  взноса на капитальный ремонт общего имущества в многоквартивном доме</t>
  </si>
  <si>
    <t>Компенсация выплачена  9,2 тыс. чел.</t>
  </si>
  <si>
    <t xml:space="preserve">Обеспечение техническими средствами реабилитации, включая изготовление и ремонт протезно-ортопедических изделий  </t>
  </si>
  <si>
    <t>Протезно-ортопедическую помощь получат                          845  граждан (труженики тыла и  отдельные категории граждан, нуждающиеся в протезно-ортопедической помощи)</t>
  </si>
  <si>
    <t xml:space="preserve">Повышение участия некоммерческих общественных организаций в реализации социальной политики государства, развитие некоммерческого партнерства
</t>
  </si>
  <si>
    <t>Предоставление общественным объединениям субсидий из бюджета Удмуртской Республики на разработку и проведение мероприятий по социальной поддержке отдельных категорий граждан</t>
  </si>
  <si>
    <t>В апреле 2017 года в Министерством проведен конкурсный отбор среди общественных объединений для предоставления субсидий из бюджета Удмуртской Республики (далее – конкурс). Победителями конкурса стали 11 общественных объединений, которым предоставлены субсидии из бюджета Удмуртской Республики на общую сумму 2 960,8 тыс. руб. Конкурсный отбор проведен в соответствии с постановлением Правительства Удмуртской Республики от 27.03.2017 № 107 «Об утверждении Правил предоставления общественным объединениям субсидий из бюджета Удмуртской Республики на разработку и проведение мероприятий по социальной поддержке отдельных категорий граждан». Проекты направлены на оказание услуг в сфере социальной поддержки и защиты граждан, улучшения морально-психологического состояния граждан.</t>
  </si>
  <si>
    <t xml:space="preserve"> </t>
  </si>
  <si>
    <t xml:space="preserve">Предоставление государственной социальной помощи:  </t>
  </si>
  <si>
    <t>Лубнина О.В., первый заместитель министра; Клокова А.Л., начальник управления по вопросам семьи и детства;
Братухина О.А.., начальник отдела семейной политики и демографии управления по вопросам семьи и детства</t>
  </si>
  <si>
    <t xml:space="preserve">Обеспечение одеждой и обувью к началу учебного года не менее 2250 детей из малоимущих семей </t>
  </si>
  <si>
    <t>2690 многодетных малообеспеченных семьи получили компенсацию расходов на приобретение одежды и обуви на ребенка поступающего в первый класс</t>
  </si>
  <si>
    <t>Ежемесячным пособием на ребенка будет обеспечена  81,5 тыс. семей (131,0 тысяч детей)</t>
  </si>
  <si>
    <t>Ежемесячныое пособие на ребенка получили 42,4 семей  (75,2 тыс. детей)</t>
  </si>
  <si>
    <t xml:space="preserve">Прекращение выплаты пособия с 1 октября 2017 года гражданам, не подтвердившим право на пособие (Пост. Прав-ва УР
от 20 марта 2017 г. N 81)
</t>
  </si>
  <si>
    <t>Пособия по беременности и родам получат 4,1 тыс. безработных женщин в год</t>
  </si>
  <si>
    <t>Единовременное пособие получили 3,5 тыс. беременных женщин</t>
  </si>
  <si>
    <t>Уменьшение числа женщин детородного возраста, вступление в детородный возраст мужчин и женщин 90-х годов рождения, когда было зарегистрировано значительное снижение рождаемости</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</si>
  <si>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соотвествии с Федеральным законом от 19 мая 1995 года № 81-ФЗ  «О государственных пособиях гражданам, имеющим детей»</t>
  </si>
  <si>
    <t xml:space="preserve">Стабилизация численности населения и создание условий для ее роста. За год пособие получат  14,1 тыс. человек. Единовременное пособие при рождении ребенка получают 3,0 тыс. человек в год 
</t>
  </si>
  <si>
    <t>Пособие получили  12,3 тыс. человек. Единовременное пособие при рождении ребенка получили 2,6 тыс человек</t>
  </si>
  <si>
    <t>Ежемесячную денежную выплату в размере 5000,00 рублей получат 4,5 тыс. человек</t>
  </si>
  <si>
    <t>Ежемесячную денежную выплату в размере получили 4,5 тыс. человек</t>
  </si>
  <si>
    <t xml:space="preserve">Единовременное пособие беременной жене военнослужащего, проходящего военную службу по призыву, получат не менее 37 человек в год;
ежемесячное пособие на ребенка военнослужащего, проходящего военную службу по призыву, получат 154 человек.           </t>
  </si>
  <si>
    <t>Единовременное пособие беременной жене военнослужащего, проходящего военную службу по призыву, получили 19 человек;
ежемесячное пособие на ребенка военнослужащего, проходящего военную службу по призыву, получили 119 человек</t>
  </si>
  <si>
    <t xml:space="preserve">Материальную помощь для направления детей-инвалидов на продолжительное лечение за пределы республики  получат более 300 семей </t>
  </si>
  <si>
    <t>360 семей, направляющих детей-инвалидов на продолжительное лечение или операцию за пределы Удмуртской Республики, получили материальную помощь</t>
  </si>
  <si>
    <t xml:space="preserve">Единовременное денежное вознаграждение в год выплачивается 34 женщинам-матерям, награжденным знаком отличия «Материнская слава» </t>
  </si>
  <si>
    <t xml:space="preserve">Единовременное денежное вознаграждение получили 35 женщин-матерей, награжденных знаком отличия "Материнская слава" </t>
  </si>
  <si>
    <t xml:space="preserve">Единовременное денежное вознаграждениев год будет выплачено 35 семьям, награжденным знаком отличия «Родительская слава» </t>
  </si>
  <si>
    <t>Лубнина О.В.,первый заместитель министра
Клокова А.Л., начальник управления по вопросам семьи и детства; Юргина Д.Ш. начальник отдела профилактики безнадзорности и беспризорности</t>
  </si>
  <si>
    <t>В рамках государственного задания оказываются государтсвенная услуга: организация деятельности специализированных (профильных) лагерей</t>
  </si>
  <si>
    <t>Охвачено отдыхом и оздоровлением 2805 детей, находящихся в трудной жизненной ситуации</t>
  </si>
  <si>
    <t>Cуммарный коэффициент рождаемости-1,934 ед.</t>
  </si>
  <si>
    <t>Cуммарный коэффициент рождаемости-1,956 ед.</t>
  </si>
  <si>
    <t>Лубнина О.В.,первый заместитель министра
Клокова А.Л., начальник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детсва</t>
  </si>
  <si>
    <t>Удовлетворение  потребности в перевозке несовершеннолетних, самовольно покинувших свой дом, на 100%</t>
  </si>
  <si>
    <t>Осуществление деятельности, связанной с перевозкой носит заявительный принцип (перевозки в 2017 году не осуществлялись в связи с отсутствием потребности)</t>
  </si>
  <si>
    <t>Доля вторых и последующих рождений от общей численности рождений в Удмуртской Республике-63,4%; суммарный коэффициент рождаемости-1,934 ед.; Удельный вес детей, находящихся в социально опасном положении, в общей численности детского населения Удмуртской Республики-0,6 ед.</t>
  </si>
  <si>
    <t>Доля вторых и последующих рождений от общей численности рождений в Удмуртской Республике-63,6%; суммарный коэффициент рождаемости-1,956 ед.; Удельный вес детей, находящихся в социально опасном положении, в общей численности детского населения Удмуртской Республики-0,6 ед.</t>
  </si>
  <si>
    <t xml:space="preserve">Титов И.Г., исполняющий обязанности министра здравоохранения </t>
  </si>
  <si>
    <t>Оказание материальной помощи 700 семьям, оказавщимся в трудной жизненной ситуации; 
проведение мероприятий по популязации семейных ценностей</t>
  </si>
  <si>
    <t>Оказана материальной помощи 729 семьям, оказавщимся в трудной жизненной ситуации; 
проведение мероприятий по популязации семейных ценностей</t>
  </si>
  <si>
    <t xml:space="preserve">Оказание адресной государственной помощи семьям, беременным женщинам, оказавшимся в трудной жизненной ситуации </t>
  </si>
  <si>
    <t>Оказание единовременной материальной помощи 800 семьям, находящимся в трудной жизненной ситуации</t>
  </si>
  <si>
    <t>Матпомощь оказана 729 семьям, в том числе 51 студенчекой семье.</t>
  </si>
  <si>
    <t xml:space="preserve">Организация  отдыха и оздоровления семей с детьми-инвалидами в возрасте с 7-15 лет </t>
  </si>
  <si>
    <t>Предоставление 47 путевок «мать и дитя» семьям с детьми- инвалидами</t>
  </si>
  <si>
    <t>47 семей, воспитывающих ребенка-инвалида, получили бесплатную путевку «Мать и дитя» в санаторий «Ижсталь».</t>
  </si>
  <si>
    <t>Организация  Торжественного приема, посвященного вручению знака отличия «Родительская слава»</t>
  </si>
  <si>
    <r>
      <t>Награждение 28 многодетных семей республики</t>
    </r>
    <r>
      <rPr>
        <i/>
        <sz val="9"/>
        <color theme="1"/>
        <rFont val="Calibri"/>
        <family val="2"/>
        <charset val="204"/>
        <scheme val="minor"/>
      </rPr>
      <t xml:space="preserve"> </t>
    </r>
  </si>
  <si>
    <t>Награждено знаком отличия «Родительская слава» 23 семьи и 1 одинокий многодетный отец</t>
  </si>
  <si>
    <t xml:space="preserve">Организация торжественного мероприятия, посвященного Дню семьи, любви и верности </t>
  </si>
  <si>
    <t>Награждение 70 семей республики</t>
  </si>
  <si>
    <t>70 супружеских, проживших в зарегистрированном браке более 25-ти лет, получивших известность среди сограждан крепостью семейных устоев, основанных на взаимной любви и верности, воспитавшие детей достойными членами общества, награждаются медалью «За любовь и верность».</t>
  </si>
  <si>
    <t>Организации торжественного мероприятия, посвященного Дню матери</t>
  </si>
  <si>
    <t>Чествование более 300 матерей республики</t>
  </si>
  <si>
    <t>24.11.2017 года совместно с Удмуртской государственной филармонией проведен праздничный концерт, посвященный празднованию Дня матери. Участники мероприятия – матери со всех муниципальных образований республики, общее количество участников 600 человек.</t>
  </si>
  <si>
    <t xml:space="preserve">Организация Торжественного приема, посвященного вручению знака отличия «Материнская слава» </t>
  </si>
  <si>
    <t>Награждение 34 многодетных матерей республики</t>
  </si>
  <si>
    <t>Наградой удостоены 35 многодетных матери</t>
  </si>
  <si>
    <t xml:space="preserve">Участие  делегации от Удмуртской Республики в Окружном фестивале семей «Успешная семья Приволжья - 2017» </t>
  </si>
  <si>
    <t>Участие делегации от Удмуртской Республики в Окружном фестивале семей «Успешная семья Приволжья - 2017» г. Ульяновск</t>
  </si>
  <si>
    <t>В 2017 году многодетная семья Абашевых из Сюмсинского района приняла участие в V окружном фестивале-конкурсе семей «Успешная семья Приволжья 2017», который проходил в г. Ульяновске. Семья стала победителем в номинации «Везде хорошо, а дома лучше».</t>
  </si>
  <si>
    <t xml:space="preserve">Организация мероприятий в рамках республиканских акции «Семья» и Акции охраны прав детства </t>
  </si>
  <si>
    <t>Проведение республиканской научно-практической конференции «Права детей – забота государства. Реализация Национальной стратегии действий в интересах детей».Проведение семинаров-тренингов для специалистов, работающих с семьями или детьми</t>
  </si>
  <si>
    <t xml:space="preserve">С 15.04. -15.05.2017 года в республике прошла акция «Семья». В ходе проведения акции, в муниципальных образованиях Удмуртской Республики были организованы и проведены межведомственные рейды по выявлению семей, оказавшихся в трудной жизненной ситуации, в ходе которых выявлена 753 семь.                                     С 15.05.-15.06. 2017 в республике прошла акция охраны прав детства. В ходе проведения акции в муниципальных образованиях Удмуртской Республики были проведены мероприятия, направленные на профилактику насилия 
и жестокого обращения с детьми, по выявлению детей, находящихся в социально опасном положении.            24.11.2017 гожа прошла акция «Крылья ангела», посвященная Дню матери, 40 детей, проходящих социальную реабилитацию в социально-реабилитационных центрах для несовершеннолетних республики рисовали своего ангела-хранителя и посетили выставку «Природа Удмуртии». 
</t>
  </si>
  <si>
    <t>Клокова А.Л., начальник управления по вопросам семьи и детства;
Братухина О.А.., начальник отдела семейной политики и демографии управления по вопросам семьи и детства</t>
  </si>
  <si>
    <t>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личности</t>
  </si>
  <si>
    <t>Реализация Закона УР от 05.05.2016 г. № 13-РЗ «О мерах по социальной поддержке многодетных семей».На 01.01 2018 года зарегистрировано 20 751 семья.
В рамках реализации Закона УР от 5.05.2006 года № 13-РЗ все семьи пользуются мерами социальной поддержки.</t>
  </si>
  <si>
    <t>Улучшение жилищных условий не менее 40 многодетных семей Удмуртской Республики</t>
  </si>
  <si>
    <t>40 многодетных малообеспеченных семьи получили безвозмездную субсидию на улучшение жилищнфх условий</t>
  </si>
  <si>
    <t xml:space="preserve">Коньков К.В., заместитель министра
Вахрамеев В.В., начальник отдела по делам инвалидов; Рубцов Д.Н., начальник управления по экономике и        финансам
</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</si>
  <si>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и воспитывающихся в подведомственных учреждениях</t>
  </si>
  <si>
    <t>Денежные компенсационные выплаты за питание детям-сиротам и детям, оставшимся без попечения родителей предоставлены всем нуждающимся в полном объеме</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</si>
  <si>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в Сарапульском колледже для инвалидов</t>
  </si>
  <si>
    <t>Предоставлены денежные компенсационные выплачены детям-сиротам и детям, оставшимся без попечения родителей, лицам из числа детей-сирот и детей, оставшихся без попечения родителей, обучающимся в Сарапульском колледже для инвалидов для обеспечения их одеждой и обувью</t>
  </si>
  <si>
    <t>Осуществлена выплата единовременного денежного пособия  детям-сиротам и детям, оставшимся без попечения родителей, лицам из числа детей-сирот и детей, оставшихся без попечения родителей, выпускникамв Сарапульского колледжа для инвалидов</t>
  </si>
  <si>
    <t>Выплата пособия на приобретение учебной литературы и письменных принадлежностей</t>
  </si>
  <si>
    <t>Предоставлена выплата пособия на приобретение учебной литературы и письменных принадлежностей</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</si>
  <si>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населения-98,7%;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Республике-80,0%; Обеспеченность стационарными организациями социального обслуживания-21,57 мест на 10 тыс. жителей</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</si>
  <si>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населения-99,6%;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Республике-81,1%; Обеспеченность стационарными организациями социального обслуживания-21,57 мест на 10 тыс. жителей</t>
  </si>
  <si>
    <t>Коньков К.В., заместитель министра
Исупова С.А., консультант отдела стационарных учреждений;
Рубцов Д.Н.,Рубцов Д.Н., начальник управления по экономике и        финансам</t>
  </si>
  <si>
    <t>В рамках государственного задания оказываются государтсвенные услуги: предоставление социального обслуживания в стационарной форме</t>
  </si>
  <si>
    <t>В рамках государственного задания оказаны государтсвенные услуги в стационарной форме 3268 чел.</t>
  </si>
  <si>
    <t xml:space="preserve">Обеспечение текущей деятельности бюджетного профессионального образовательного учреждения «Сарапульский колледж для инвалидов» 
</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</si>
  <si>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населения-98,7%;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Республике-80,0%</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</si>
  <si>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населения-99,6%;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Республике-81,1%</t>
  </si>
  <si>
    <t xml:space="preserve">Коньков К.В., заместитель министра
Вахрамеев В.В., начальник отдела по делам инвалидов
Рубцов Д.Н., начальник  планово-финансового отдела
</t>
  </si>
  <si>
    <t>В рамках государственного задания оказываются услуги: реализация основных профессиональных образовательных программ среднего профессионального образования, программ профессионального обучения</t>
  </si>
  <si>
    <t>В рамках государственного задания оказаны услуги: реализация основных профессиональных образовательных программ среднего профессионального образования, программ профессионального обучения</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</si>
  <si>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населения-98,7%;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Республике-80,0%; удельный вес детей-инвалидов, получивших социальные услуги в организациях социального обслуживания, в общей численности детей-инвалидов- 50%</t>
  </si>
  <si>
    <t>Саламатова Е.Г.,заместитель министра
Коньков К.В., заместитель министра
Вахрамеев В.В., начальник отдела по делам инвалидов
 Рудина Г.Ф., начальник отдел по работе  с подведомственными органзациями,
Юргина Д.Ш.,начальник отдела профилактики безнадзорности и беспризорности несовершеннолетних управления по вопросам семьи и детсва,
Рубцов Д.Н., начальник управления по экономике и финансам</t>
  </si>
  <si>
    <t xml:space="preserve"> В реабилитационных центрах для граждан пожилого возраста и 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</si>
  <si>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Государственные услуги оказаны в полном объеме</t>
  </si>
  <si>
    <t>Васильева Е.С., заместитель министра
Рубцов Д.Н., начальник  планово-финансового отдела</t>
  </si>
  <si>
    <t>Привлечение кадрового потенциала в сельские населенные пункты, рабочие поселки и поселки городского типа путем выплаты денежной компенсации расходов по оплате жилых помещений и коммунальных услуг (отопление, освещение) работникам государственных учреждений Удмуртской Республики</t>
  </si>
  <si>
    <t>Компенсация расходов произведена в полном объеме</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</si>
  <si>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занятий-4,17%. 
Улучшение условий проживания граждан в стационарных и полустационарных учреждениях социального обслуживания Удмуртской Республики и улучшение условий труда работников. Охрана труда</t>
  </si>
  <si>
    <t xml:space="preserve">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занятий-0 % (на сегодняшний день стационарных учреждений, находящихся в ветхом или аварийном состоянии в республике нет)
</t>
  </si>
  <si>
    <t>Васильева Е.С., заместитель министра
Мухачев В.Н., начальник отдела развития материально-технической базы отрасли</t>
  </si>
  <si>
    <t xml:space="preserve">Обеспечение укрепления материально-технической базы и улучшения условий проживания в стационарных и полустационарных учреждениях социального обслуживания Удмуртской Республики в соответствии с санитарно-гигиеническими нормами и требованиями пожарной безопасности </t>
  </si>
  <si>
    <t>Лубнина О.В., первый заместитель министра
Васильева Е.С., заместитель министра
 Коньков К.В., заместитель министра
Саламатова Е. Г., заместитель министра
Вахрамеев В.В., начальник отдедла по делам инвалидов,
Мухачев В.Н., начальник отдела развития материально-технической базы отрасли
Рудина Г.Ф., начальник отдела по работе с подведомственными учреждениями,
Клокова А.Л., начальник управления по вопросам семьи и детства
 Исупова С.А.., консультант отдела стационарных учреждений
Юргина Д.Ш.,начальник отдела профилактики безнадзорности и беспризорности несовершеннолетних управления по вопросам семьи и детсва</t>
  </si>
  <si>
    <t>Безаварийная работа систем тепло- и водоснабжения в зимний период;
 уменьшение издержек и энергосбережение ресурсов</t>
  </si>
  <si>
    <t xml:space="preserve">В целях безаварийной работы систем тепло- и водоснабжения в зимний период,
 уменьшение издержек и энергосбережение ресурсов  направлены средства в размере 9,9 млн.руб. Все учреждения подготовлены к работе в зимний период 2017-2018 гг. 
</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</si>
  <si>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мероприятиях-42,0 тыс. чел.</t>
  </si>
  <si>
    <t>Мероприятия по улучшению положения и качества жизни пожилых людей, в том числе:</t>
  </si>
  <si>
    <t>Саламатова Е.Г., заместитель министра
Иутина О.В., начальник управления м ер социальной поддержки,
Рудина Г.Ф., начальник отдел по работе  с подведомственными органзациями,я
 Рубцов Д.Н., начальник  управления по экономике и финансам</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</si>
  <si>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мероприятиях-42,0 тыс. чел.; проведение мероприятий, посвященных Дню пожилых людей, Дню инвалидов, Дню Героев Отечества, празднование Дня Победы в Великой Отечественной войне 1941-1945 годов;
предоставление адресной финансовой помощи</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</si>
  <si>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мероприятиях-42,0 тыс. чел.; проведены мероприятий, посвященных Дню пожилых людей, Дню инвалидов, Дню Героев Отечества, празднование Дня Победы в Великой Отечественной войне 1941-1945 годов.</t>
  </si>
  <si>
    <t>Вручение подарков не менее 400 ветеранам Великой Отечественной войны в связи с традиционно считающимися юбилейными днями рождения, начиная с 90-летия</t>
  </si>
  <si>
    <t xml:space="preserve">Подарки вручены  более 1 400 ветеранам Великой Отечественной войны. </t>
  </si>
  <si>
    <t>Проведение Круглого стола по вопросам социальной защиты пожилых людей</t>
  </si>
  <si>
    <t>Привлечение внимания общественности к проблемам людей старшего возраста</t>
  </si>
  <si>
    <t>Проведены семинары-совещания "О реализации в УР мероприятий, направленных на улучшение положения и качества жизни пожилых людей"</t>
  </si>
  <si>
    <t xml:space="preserve">Проведение республиканского конкурса по компьютерной грамотности среди пожилых людей. Участие  делегации Удмуртской Республики во Всероссийском конкурсе по компьютерной грамотности среди пожилых людей </t>
  </si>
  <si>
    <t xml:space="preserve">Участие в республиканском конкурсе по компьютерной грамотности  не менее  60 граждан пожилого возраста; 
обеспечение участия не менее 2 победителей во Всероссийском конкурсе по компьютерной грамотности среди пожилых людей </t>
  </si>
  <si>
    <t>В апреле-мае 2017 года в Удмуртии прошел конкурс по компьютерной грамотности среди пожилых людей, в котором приняли участие 152 неработающих пенсионера. По итогам конкурса 2 победителя вошли в сборную команду Удмуртии для участия в VII Всероссийском чемпионате по компьютерному многоборью среди пенсионеров, который состоялся  25 - 27 мая 2017 года в городе Санкт-Петербурге. Команда заняла 36-е место из 63 участвующих команд.</t>
  </si>
  <si>
    <t>Оказание материальной помощи на газификацию жилых домов или жилых помещений в многоквартирных домах, принадлежащих участникам и инвалидам Великой Отечественной войны, вдовам участников и инвалидов Великой Отечественной войны, труженикам тыла, неработающим пенсионерам, являющимися ветеранами труда либо инвалидами</t>
  </si>
  <si>
    <t>Оказание материальной помощи на газификацию жилых домов или жилых помещений участникам и инвалидам Великой Отечественной войны в размере не более 70 тысяч рублей,  труженикам тыла и вдовам участников и инвалидов Великой Отечественной войны в размере не более 30 тысяч рублей, неработающим пенсионерам, являющимися ветеанами труда либо инвалидами в размеере не более 20 тысяч рукблей</t>
  </si>
  <si>
    <t>Мероприятия не проводились</t>
  </si>
  <si>
    <t>Несогласоание нормативно-правовых актов  Минфином УР</t>
  </si>
  <si>
    <t>Предоставление отдельным категориям граждан, проживающим в Удмуртской Республике, единовременной выплаты на проведение капитального ремонта  жилых помещений</t>
  </si>
  <si>
    <t xml:space="preserve">Предоставление единовременной выплаты  на проведение капитального  ремонта  жилых помещений  инвалидам и участникам Великой Отечественной войны 1941-1945 годов в размере не более 80 тысяч рублей </t>
  </si>
  <si>
    <t xml:space="preserve">На 01.01.2018 у 93 ветеранов Великой Отечественной войны произведены ремонтные работы на сумму 6,9 млн. рублей. </t>
  </si>
  <si>
    <t>Проведение мероприятий, посвященных Дню пожилых людей, Дню инвалидов, празднованию Дня Победы в Великой Отечественной войне 1941-1945 годов, Дню Героев Отечества, в том числе участие делегации Удмуртской Республики, пожилых людей в памятно-мемориальных мероприятиях, проводимых в г. Москве и других населенных пунктах России. Проведение фестивалей, конкурсов, выставок творчества</t>
  </si>
  <si>
    <t xml:space="preserve">Участие в мероприятиях не менее 80 тысяч граждан пожилого возраста и инвалидов </t>
  </si>
  <si>
    <t xml:space="preserve">     Проведены традиционные торжественные мероприятия в цирке, посвященные Дню пожилого человека  и Дню инвалидов. В  тематических мероприятиях, приуроченных к памятным датам и праздникам, фестивалях и конкурсах приняли участие не мененее 80 тыс.граждан пожилого возраста.    К организации и проведению памятных меропррятий   были привлечены общественные  организации.                                                В торжественных мероприятия Приволжского федерального округа, посвященных празднованию Дня Героев Отечества отУдмуртской Республики в 2017 году (г. Саранск) приняла участие Закирова Ляйсиря Калимовна (мать Героя России Закирова И.И.).   
</t>
  </si>
  <si>
    <t>Организация и проведение специализированных оздоровительных заездов для ветеранов Великой Отечественной войны и граждан пожилого возраста</t>
  </si>
  <si>
    <t xml:space="preserve">Охват специализированными оздоровительными заездами не  менее 10,0 тыс. граждан пожилого возраста </t>
  </si>
  <si>
    <t>В 2017 году  для пожилых людей  в КЦСОН были организованы различные культурно-досуговые групповые занятия, в которых приняли участие более 10 тыс. человек,в том числе в однодневных  оздоровительных заездах приняло участие 5 099 пожилых людей..</t>
  </si>
  <si>
    <t>Организация льготной подписки и доставки газеты для пожилых людей</t>
  </si>
  <si>
    <t xml:space="preserve">Организация  льготной подписки и доставки 1000 комплектов газеты для пожилых людей </t>
  </si>
  <si>
    <t>Оформлена льготгая подписка и доставка 1000 экз. газеты для ветеранов "Долг"</t>
  </si>
  <si>
    <t xml:space="preserve">Разработка и издание информационно - аналитических сборников, справочных изданий, буклетов по вопросам социальной защиты пожилых людей </t>
  </si>
  <si>
    <t>Разработка  и издание не менее 30 тыс. экземпляров буклетов о предоставлении социального обслуживания и мер социальной поддержки отдельным категориям граждан</t>
  </si>
  <si>
    <t>Издано и распространено среди пожилых граждан более 33800 буклетов.</t>
  </si>
  <si>
    <t>Васильева Е.С., заместитель министра 
Мухачев В.Н.,  начальник отдела развития материально-технической базы отрасли</t>
  </si>
  <si>
    <t xml:space="preserve">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занятий-4,17%.
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</si>
  <si>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занятий-0%.
(на сегодняшний день стационарных учреждений, находящихся в ветхом или аварийном состоянии в республике нет)</t>
  </si>
  <si>
    <t>Саламатова Е.Г., заместитель министра
Васильева Е.С., заместитель министра
Мухачев В.Н., начальник отдела развития материально-технической базы отрасли
 Иутина О.В., начальник управления мер социальной поддержки</t>
  </si>
  <si>
    <t>Привлечение субсидий Пенсионного фонда Российской Федерации на софинансирование расходных обязательств бюджета Удмуртской Республики по реализации социальных программ Удмуртской Республики, связанных с укреплением материально-технической базы учреждений социального обслуживания населения и обучение компьютерной грамотности неработающих пенсионеров</t>
  </si>
  <si>
    <t xml:space="preserve">В 2017 году 788,0 тыс. руб. направлено на обучение компьютерной грамотности неработающих пенсионеров, что позволило обучить 414 пенсионеров. </t>
  </si>
  <si>
    <t>Лубнина О.В., первый заместитель министра
Васильева Е.С., заместитель министра
Коньков К.В., заместитель министра
Саламатова Е.Г, заместитель министра
Вахрамеев В.В., начальник отдела по делам инвалидов
Рубцов Д.Н., начальник управления по экономике и финансам</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</si>
  <si>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0,4%.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8,8%. Прирост инвестиций в основной капитал без учета бюджетных средств 3,3% от предыдущего года</t>
  </si>
  <si>
    <t>Лубнина О.В., первый заместитель министра
Коньков К.В. заместитель министра
Саламатова Е.Г., заместитель министра
 Вахрамеев В.В., начальник отдела по делам инвалидов, 
Рудина Г.Ф.,  начальник отдела по работе с подведомственными учреждениями 
Исупова С.А., консультант отдела стационарных учреждений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управления по экономике и финансам</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</si>
  <si>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0,4%.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8,8%. Прирост инвестиций в основной капитал без учета бюджетных средств 3,3% от предыдущего года. Реализация 442-ФЗ - развития рынка  конкурентноспособных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t>
  </si>
  <si>
    <t>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запланированных-100,0%; 
уровень выполнения значений целевых показателей (индикаторов) государственной программы-не менее 90,0%</t>
  </si>
  <si>
    <t>Расходы на организацию предоставления государственных услуг Минсоцполитики УР и его территориальными органами</t>
  </si>
  <si>
    <t>Лубнина О.В., первый заместитель министра
Белоусова М.Е., заместитель министра
 Васильева Е.С., заместитель министра 
Коньков К.В., заместитель министра
Саламатова Е.Г.,  заместитель министра</t>
  </si>
  <si>
    <t>Повышение прозрачности деятельности Министерства,  территориальных органов и подведомственных учреждений, обеспечение публичности деятельности Министерства, в том числе размещение информации в сети «Интернет»</t>
  </si>
  <si>
    <t>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t>
  </si>
  <si>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 100,0%; 
уровень выполнения значений целевых показателей (индикаторов) государственной программы-не менее 90,0%</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</si>
  <si>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пособий,предоставление государственных услуг населению</t>
  </si>
  <si>
    <t xml:space="preserve">Для повышения качества планирования и эффективности использования бюджетных средств в соответствии с приказами Министерства учреждениям, подведомственным Министерству утверждены и доведены  государственные задания на оказание государственных услуг на 2017 г. 
</t>
  </si>
  <si>
    <t>Саламатова Е.Г., заместитель министра
Васильева Е.С., заместитель министра
 Рудина Г.Ф., начальник отдела по работе с подведомтсвенными учреждениями 
 Рубцов Д.Н., начальник управления по экономике и финансам</t>
  </si>
  <si>
    <t xml:space="preserve">Создание условий для реализации полномочий Министерства;
организация реализации мероприятий государственных, ведомственных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 
</t>
  </si>
  <si>
    <t>Созданы условия для реализации полномочий территориальных органов Министерства</t>
  </si>
  <si>
    <t>Васильева Е.С., заместитель министра
Кучумова С.Е., начальник управления бухгалтерского учета и консолидированной отчетности - главный бухгалтер
Рубцов Д.Н.,  начальник управления по экономике и финансам</t>
  </si>
  <si>
    <t xml:space="preserve">Выполнение обязательств по уплате налога на имущество </t>
  </si>
  <si>
    <t>Обязательства Министерства и территориальных органов по уплате налога на имущество выполнены в полном объеме</t>
  </si>
  <si>
    <t>Выполнение обязательств  по уплате земельного налога</t>
  </si>
  <si>
    <t>Обязательства Министерства и территориальных органов по уплате земельного налога выполнены в полном объеме</t>
  </si>
  <si>
    <t>Создание условий для реализации полномочий в части предоставления мер социальной поддержки многодетным семьям</t>
  </si>
  <si>
    <t>Организация предоставления государственных услуг  в соответствии с постановлением Правительства Удмуртской Республики от 7 февраля 2011 года № 24 «О перечне государственных услуг, предоставляемых исполнительными органами государственной власти Удмуртской Республики»</t>
  </si>
  <si>
    <t xml:space="preserve">Белоусова М.Е., заместитель министра
Саламатова Е.Г.,  заместитель министра
Микрюкова О.Н. начальник управления правовой и кадровой работы
</t>
  </si>
  <si>
    <t>Государственные услуги оказываются в соответствии с административными регламентами по предоставлению государственных услуг</t>
  </si>
  <si>
    <t>Государственные услуги оказывалист в соответствии с административными регламентами по предоставлению государственных услуг</t>
  </si>
  <si>
    <t>Расходы за счет доходов от платных услуг, оказываемых государственными казенными учреждениями</t>
  </si>
  <si>
    <t>Возмещение эксплуатационных расходов казенных учреждений</t>
  </si>
  <si>
    <t xml:space="preserve">Произведено возмещение эксплуатационных расходов казенных учреждений </t>
  </si>
  <si>
    <t>Заключение соглашения о взаимодействии с Уполномоченным многофункциональным центром в Удмуртской Республике</t>
  </si>
  <si>
    <t>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№97-100,0%</t>
  </si>
  <si>
    <t>Организация опроса на официальном сайте министерства по уровню удовлетворенности качеством предоставления государственных услуг</t>
  </si>
  <si>
    <t>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услуг-88,0%</t>
  </si>
  <si>
    <t>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услуг-100,0%</t>
  </si>
  <si>
    <t>Разработка административных регламентов, предусматривающих 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 - не более 15 минут</t>
  </si>
  <si>
    <t>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 не более15 мин.</t>
  </si>
  <si>
    <t>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 15 мин.</t>
  </si>
  <si>
    <t>__________</t>
  </si>
  <si>
    <t>2 инвалида сняты с учета в связи со смертью</t>
  </si>
  <si>
    <t>Снятие группы инвалидности (выздоровление)</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</si>
  <si>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населения-99,6%;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Республике-81,1%; удельный вес детей-инвалидов, получивших социальные услуги в организациях социального обслуживания, в общей численности детей-инвалидов- 50%</t>
  </si>
  <si>
    <t xml:space="preserve">В связи  с блокировкой сумм Минфином УР после проведения аукционов, провести дополнительные торги на выполнение работ по изготовлению протезн-ортопедических изделий не представилось возможным </t>
  </si>
  <si>
    <t>Освоено 8 826,1 тыс. рублей, обеспечены - 721 человек. Работы по изготовлению ортопедической обуви выполняло Федеральное государственное унитарное предприятие «Московское протезно-ортопедическое предприятие» Министерства труда и социальной защиты Российской Федерации, по изготовлению протезов молочной железы и лифов для крепления протезов молочной железы - общество с ограниченной ответственностью «Авангард»</t>
  </si>
  <si>
    <t xml:space="preserve">бюджетные ассигнования из бюджета Удмуртской Республики на реализацию мероприятий государственной программы приводятся в соответствии с Законом Удмуртской Республики от 26 декабря 2016 года № 95-РЗ «О бюджете Удмуртской Республики на 2017 год и на плановый период 2018 и 2019 годов»;
включено мероприятие «Расходы на капитальные вложения в объект государственной собственности «автономное учреждение социального обслуживания Удмуртской Республики «Республиканский реабилитационный центр для детей и подростков с ограниченными возможностями»; включение данного мероприятия связано с увеличением бюджетных средств из федерального бюджета в целях завершения строительства здания автономного учреждения социального обслуживания Удмуртской Республики «Республиканский реабилитационный центр для детей и подростков с ограниченными возможностями» в сумме 150 000 тыс. руб. в рамках реализации мероприятий государственной программы Российской Федерации «Социальная поддержка граждан»; 
дополнение целевым показателем «Прирост технической готовности объекта государственной собственности «автономное учреждение социального обслуживания Удмуртской Республики «Республиканский реабилитационный центр для детей и подростков с ограниченными возможностями». 
</t>
  </si>
  <si>
    <r>
      <t xml:space="preserve">    Ответственный исполнитель</t>
    </r>
    <r>
      <rPr>
        <b/>
        <u/>
        <sz val="12"/>
        <color theme="1"/>
        <rFont val="Times New Roman"/>
        <family val="1"/>
        <charset val="204"/>
      </rPr>
      <t xml:space="preserve"> Министерство социальной политики и труда Удмуртской Республики </t>
    </r>
  </si>
  <si>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</si>
  <si>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r>
      <t xml:space="preserve">                 по состоянию на </t>
    </r>
    <r>
      <rPr>
        <b/>
        <u/>
        <sz val="10"/>
        <rFont val="Times New Roman"/>
        <family val="1"/>
        <charset val="204"/>
      </rPr>
      <t xml:space="preserve"> 01.01.2018 г.</t>
    </r>
  </si>
  <si>
    <r>
      <t xml:space="preserve">                 по состоянию на </t>
    </r>
    <r>
      <rPr>
        <b/>
        <u/>
        <sz val="10"/>
        <color theme="1"/>
        <rFont val="Times New Roman"/>
        <family val="1"/>
        <charset val="204"/>
      </rPr>
      <t xml:space="preserve"> 01.01.2018 г.</t>
    </r>
  </si>
  <si>
    <r>
      <t xml:space="preserve">            по состоянию на </t>
    </r>
    <r>
      <rPr>
        <b/>
        <u/>
        <sz val="12"/>
        <color theme="1"/>
        <rFont val="Times New Roman"/>
        <family val="1"/>
        <charset val="204"/>
      </rPr>
      <t xml:space="preserve"> 01.01.2018 г.</t>
    </r>
  </si>
  <si>
    <t>Министерство социальной политики и труда Удмуртской Республики</t>
  </si>
  <si>
    <t>Министерство социальной политикии труда Удмуртской Республики</t>
  </si>
  <si>
    <t xml:space="preserve">От ООО «ДМК Групп» по инвестиционному проекту «Реконструкция прачечной Глазовского психоневрологического интерната» поступила частная концессионная инициатива. Данная инициатива рассмотрена и направлена на доработку в связи с представлением частной концессионной инициативы не по форме, утвержденной постановлением Правительства Российской Федерации от 31 марта 2015 года № 300 «Об утверждении формы предложения о заключении концессионного соглашения с лицом, выступающим с инициативой заключения концессионного соглашения»
Учитывая категорию обслуживаемых граждан, инвалиды, граждане пожилого возраста, граждане находящиеся в трудной жизненной ситуации тарифы на социальное обслуживание установлены соответствующие. Как следствие, низкие тарифы на социальное обслуживание являются не привлекательными для негосударственных организаций.
</t>
  </si>
  <si>
    <t xml:space="preserve">*Данные на 2016 год                                                      **Данный коэффициент рассчитывается 1 раз в год, в октябре текущего года за предыдущий год, за 2016 год он составил 1,956. </t>
  </si>
  <si>
    <t xml:space="preserve">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0,4%.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8,95%. </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</si>
  <si>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0,4%.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8,95%. Реализация 442-ФЗ - развития рынка  конкурентноспособных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t>
  </si>
  <si>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 100,0%; 
уровень выполнения значений целевых показателей - 100,0%</t>
  </si>
  <si>
    <t>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запланированных-100,0%; 
уровень выполнения значений целевых показателей -  100,0%</t>
  </si>
</sst>
</file>

<file path=xl/styles.xml><?xml version="1.0" encoding="utf-8"?>
<styleSheet xmlns="http://schemas.openxmlformats.org/spreadsheetml/2006/main">
  <numFmts count="2">
    <numFmt numFmtId="164" formatCode="0.0"/>
    <numFmt numFmtId="165" formatCode="#,##0.0"/>
  </numFmts>
  <fonts count="50">
    <font>
      <sz val="11"/>
      <color theme="1"/>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b/>
      <i/>
      <u/>
      <sz val="11"/>
      <color theme="1"/>
      <name val="Times New Roman"/>
      <family val="1"/>
      <charset val="204"/>
    </font>
    <font>
      <i/>
      <sz val="8"/>
      <color theme="1"/>
      <name val="Times New Roman"/>
      <family val="1"/>
      <charset val="204"/>
    </font>
    <font>
      <sz val="10"/>
      <color rgb="FF000000"/>
      <name val="Times New Roman"/>
      <family val="1"/>
      <charset val="204"/>
    </font>
    <font>
      <sz val="10"/>
      <name val="Times New Roman"/>
      <family val="1"/>
      <charset val="204"/>
    </font>
    <font>
      <sz val="10"/>
      <color indexed="8"/>
      <name val="Times New Roman"/>
      <family val="1"/>
      <charset val="204"/>
    </font>
    <font>
      <sz val="11"/>
      <name val="Times New Roman"/>
      <family val="1"/>
      <charset val="204"/>
    </font>
    <font>
      <sz val="12"/>
      <name val="Times New Roman"/>
      <family val="1"/>
      <charset val="204"/>
    </font>
    <font>
      <sz val="10"/>
      <name val="Arial Cyr"/>
      <charset val="204"/>
    </font>
    <font>
      <sz val="12"/>
      <color theme="1"/>
      <name val="Times New Roman"/>
      <family val="1"/>
      <charset val="204"/>
    </font>
    <font>
      <sz val="12"/>
      <color theme="1"/>
      <name val="Calibri"/>
      <family val="2"/>
      <charset val="204"/>
      <scheme val="minor"/>
    </font>
    <font>
      <sz val="11"/>
      <name val="Calibri"/>
      <family val="2"/>
      <charset val="204"/>
      <scheme val="minor"/>
    </font>
    <font>
      <i/>
      <u/>
      <sz val="11"/>
      <color theme="1"/>
      <name val="Times New Roman"/>
      <family val="1"/>
      <charset val="204"/>
    </font>
    <font>
      <sz val="10"/>
      <color rgb="FFFF0000"/>
      <name val="Times New Roman"/>
      <family val="1"/>
      <charset val="204"/>
    </font>
    <font>
      <b/>
      <sz val="10"/>
      <color rgb="FFFF0000"/>
      <name val="Times New Roman"/>
      <family val="1"/>
      <charset val="204"/>
    </font>
    <font>
      <sz val="11"/>
      <color rgb="FFFF0000"/>
      <name val="Calibri"/>
      <family val="2"/>
      <charset val="204"/>
      <scheme val="minor"/>
    </font>
    <font>
      <b/>
      <sz val="10"/>
      <color rgb="FF000000"/>
      <name val="Arial Cyr"/>
    </font>
    <font>
      <b/>
      <sz val="10"/>
      <color rgb="FF000000"/>
      <name val="Arial CYR"/>
      <family val="2"/>
    </font>
    <font>
      <sz val="12"/>
      <name val="Calibri"/>
      <family val="2"/>
      <charset val="204"/>
      <scheme val="minor"/>
    </font>
    <font>
      <b/>
      <sz val="12"/>
      <name val="Times New Roman"/>
      <family val="1"/>
      <charset val="204"/>
    </font>
    <font>
      <sz val="12"/>
      <color indexed="8"/>
      <name val="Times New Roman"/>
      <family val="1"/>
      <charset val="204"/>
    </font>
    <font>
      <b/>
      <sz val="10"/>
      <name val="Times New Roman"/>
      <family val="1"/>
      <charset val="204"/>
    </font>
    <font>
      <b/>
      <sz val="11"/>
      <name val="Times New Roman"/>
      <family val="1"/>
      <charset val="204"/>
    </font>
    <font>
      <b/>
      <sz val="11"/>
      <color theme="1"/>
      <name val="Calibri"/>
      <family val="2"/>
      <charset val="204"/>
      <scheme val="minor"/>
    </font>
    <font>
      <b/>
      <u/>
      <sz val="10"/>
      <name val="Times New Roman"/>
      <family val="1"/>
      <charset val="204"/>
    </font>
    <font>
      <sz val="12"/>
      <color rgb="FF000000"/>
      <name val="Times New Roman"/>
      <family val="1"/>
      <charset val="204"/>
    </font>
    <font>
      <b/>
      <u/>
      <sz val="10"/>
      <color theme="1"/>
      <name val="Times New Roman"/>
      <family val="1"/>
      <charset val="204"/>
    </font>
    <font>
      <b/>
      <u/>
      <sz val="12"/>
      <color theme="1"/>
      <name val="Times New Roman"/>
      <family val="1"/>
      <charset val="204"/>
    </font>
    <font>
      <sz val="11"/>
      <color theme="1"/>
      <name val="Calibri"/>
      <family val="2"/>
      <charset val="204"/>
    </font>
    <font>
      <sz val="10"/>
      <color rgb="FF000000"/>
      <name val="Arial Cyr"/>
    </font>
    <font>
      <sz val="11"/>
      <color rgb="FF000000"/>
      <name val="Times New Roman"/>
      <family val="1"/>
      <charset val="204"/>
    </font>
    <font>
      <b/>
      <sz val="10"/>
      <color theme="1"/>
      <name val="Times New Roman"/>
      <family val="1"/>
      <charset val="204"/>
    </font>
    <font>
      <sz val="9"/>
      <color indexed="81"/>
      <name val="Tahoma"/>
      <family val="2"/>
      <charset val="204"/>
    </font>
    <font>
      <b/>
      <sz val="9"/>
      <color indexed="81"/>
      <name val="Tahoma"/>
      <family val="2"/>
      <charset val="204"/>
    </font>
    <font>
      <b/>
      <sz val="12"/>
      <name val="Calibri"/>
      <family val="2"/>
      <charset val="204"/>
      <scheme val="minor"/>
    </font>
    <font>
      <b/>
      <sz val="10"/>
      <color rgb="FF000000"/>
      <name val="Times New Roman"/>
      <family val="1"/>
      <charset val="204"/>
    </font>
    <font>
      <b/>
      <sz val="9"/>
      <color rgb="FF000000"/>
      <name val="Times New Roman"/>
      <family val="1"/>
      <charset val="204"/>
    </font>
    <font>
      <b/>
      <sz val="9"/>
      <color theme="1"/>
      <name val="Times New Roman"/>
      <family val="1"/>
      <charset val="204"/>
    </font>
    <font>
      <b/>
      <sz val="9"/>
      <name val="Times New Roman"/>
      <family val="1"/>
      <charset val="204"/>
    </font>
    <font>
      <sz val="9"/>
      <color theme="1"/>
      <name val="Times New Roman"/>
      <family val="1"/>
      <charset val="204"/>
    </font>
    <font>
      <sz val="9"/>
      <name val="Times New Roman"/>
      <family val="1"/>
      <charset val="204"/>
    </font>
    <font>
      <sz val="9"/>
      <color rgb="FF000000"/>
      <name val="Times New Roman"/>
      <family val="1"/>
      <charset val="204"/>
    </font>
    <font>
      <i/>
      <sz val="9"/>
      <color theme="1"/>
      <name val="Times New Roman"/>
      <family val="1"/>
      <charset val="204"/>
    </font>
    <font>
      <i/>
      <sz val="9"/>
      <color rgb="FF000000"/>
      <name val="Times New Roman"/>
      <family val="1"/>
      <charset val="204"/>
    </font>
    <font>
      <i/>
      <sz val="9"/>
      <name val="Times New Roman"/>
      <family val="1"/>
      <charset val="204"/>
    </font>
    <font>
      <i/>
      <sz val="9"/>
      <color theme="1"/>
      <name val="Calibri"/>
      <family val="2"/>
      <charset val="204"/>
      <scheme val="minor"/>
    </font>
    <font>
      <i/>
      <sz val="11"/>
      <color theme="1"/>
      <name val="Times New Roman"/>
      <family val="1"/>
      <charset val="204"/>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FFF99"/>
      </patternFill>
    </fill>
    <fill>
      <patternFill patternType="solid">
        <fgColor rgb="FFCCFFFF"/>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style="thin">
        <color rgb="FF000000"/>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1" fillId="0" borderId="0"/>
    <xf numFmtId="4" fontId="19" fillId="6" borderId="10">
      <alignment horizontal="right" vertical="top" shrinkToFit="1"/>
    </xf>
    <xf numFmtId="4" fontId="20" fillId="7" borderId="10">
      <alignment horizontal="right" vertical="top" shrinkToFit="1"/>
    </xf>
    <xf numFmtId="0" fontId="31" fillId="0" borderId="0"/>
    <xf numFmtId="0" fontId="20" fillId="0" borderId="10">
      <alignment vertical="top" wrapText="1"/>
    </xf>
    <xf numFmtId="1" fontId="32" fillId="0" borderId="10">
      <alignment horizontal="center" vertical="top" shrinkToFit="1"/>
    </xf>
    <xf numFmtId="0" fontId="19" fillId="0" borderId="10">
      <alignment vertical="top" wrapText="1"/>
    </xf>
  </cellStyleXfs>
  <cellXfs count="700">
    <xf numFmtId="0" fontId="0" fillId="0" borderId="0" xfId="0"/>
    <xf numFmtId="0" fontId="7" fillId="0" borderId="1" xfId="0" applyFont="1" applyFill="1" applyBorder="1" applyAlignment="1">
      <alignment horizontal="left" vertical="top" wrapText="1"/>
    </xf>
    <xf numFmtId="49" fontId="7"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center" vertical="top"/>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top"/>
    </xf>
    <xf numFmtId="49" fontId="7" fillId="0" borderId="1" xfId="0" applyNumberFormat="1" applyFont="1" applyFill="1" applyBorder="1" applyAlignment="1">
      <alignment horizontal="center" vertical="top" wrapText="1"/>
    </xf>
    <xf numFmtId="49" fontId="7" fillId="0" borderId="1" xfId="0" applyNumberFormat="1" applyFont="1" applyFill="1" applyBorder="1" applyAlignment="1">
      <alignment horizontal="center" vertical="top"/>
    </xf>
    <xf numFmtId="0" fontId="2" fillId="0" borderId="0" xfId="0" applyFont="1" applyFill="1"/>
    <xf numFmtId="0" fontId="7" fillId="0" borderId="1" xfId="0" applyFont="1" applyFill="1" applyBorder="1" applyAlignment="1">
      <alignment vertical="top" wrapText="1"/>
    </xf>
    <xf numFmtId="0" fontId="9" fillId="0" borderId="1" xfId="0" applyFont="1" applyFill="1" applyBorder="1" applyAlignment="1">
      <alignment horizontal="center" vertical="top"/>
    </xf>
    <xf numFmtId="4" fontId="2" fillId="0" borderId="0" xfId="0" applyNumberFormat="1" applyFont="1" applyFill="1"/>
    <xf numFmtId="4" fontId="13" fillId="0" borderId="0" xfId="0" applyNumberFormat="1" applyFont="1" applyFill="1"/>
    <xf numFmtId="4" fontId="12" fillId="0" borderId="0" xfId="0" applyNumberFormat="1" applyFont="1" applyFill="1" applyAlignment="1">
      <alignment horizontal="right"/>
    </xf>
    <xf numFmtId="0" fontId="2" fillId="0" borderId="1" xfId="0" applyFont="1" applyFill="1" applyBorder="1" applyAlignment="1">
      <alignment vertical="top" wrapText="1"/>
    </xf>
    <xf numFmtId="49" fontId="7" fillId="0" borderId="0" xfId="0" applyNumberFormat="1" applyFont="1" applyFill="1" applyBorder="1" applyAlignment="1">
      <alignment horizontal="left" vertical="top"/>
    </xf>
    <xf numFmtId="49" fontId="7" fillId="0" borderId="5" xfId="0" applyNumberFormat="1" applyFont="1" applyFill="1" applyBorder="1" applyAlignment="1">
      <alignment horizontal="left" vertical="top" wrapText="1"/>
    </xf>
    <xf numFmtId="0" fontId="14" fillId="0" borderId="0" xfId="0" applyFont="1" applyFill="1"/>
    <xf numFmtId="0" fontId="2" fillId="0" borderId="0" xfId="0" applyFont="1" applyFill="1" applyAlignment="1">
      <alignment horizontal="right" vertical="top"/>
    </xf>
    <xf numFmtId="0" fontId="2" fillId="0" borderId="0" xfId="0" applyFont="1" applyFill="1" applyAlignment="1">
      <alignment horizontal="right"/>
    </xf>
    <xf numFmtId="49" fontId="3" fillId="0" borderId="0" xfId="0" applyNumberFormat="1" applyFont="1" applyFill="1" applyAlignment="1"/>
    <xf numFmtId="0" fontId="7" fillId="0" borderId="0" xfId="0" applyFont="1" applyFill="1" applyAlignment="1"/>
    <xf numFmtId="49" fontId="2" fillId="0" borderId="0" xfId="0" applyNumberFormat="1" applyFont="1" applyFill="1"/>
    <xf numFmtId="0" fontId="3" fillId="0" borderId="1" xfId="0" applyFont="1" applyFill="1" applyBorder="1" applyAlignment="1">
      <alignment horizontal="center" vertical="top"/>
    </xf>
    <xf numFmtId="49" fontId="0" fillId="0" borderId="0" xfId="0" applyNumberFormat="1" applyFont="1" applyFill="1"/>
    <xf numFmtId="0" fontId="0" fillId="0" borderId="0" xfId="0" applyFont="1" applyFill="1"/>
    <xf numFmtId="49" fontId="2" fillId="0" borderId="0" xfId="0" applyNumberFormat="1" applyFont="1" applyFill="1" applyAlignment="1">
      <alignment horizontal="center"/>
    </xf>
    <xf numFmtId="49" fontId="3" fillId="0" borderId="0" xfId="0" applyNumberFormat="1" applyFont="1" applyFill="1" applyBorder="1" applyAlignment="1">
      <alignment horizontal="left" vertical="top"/>
    </xf>
    <xf numFmtId="165" fontId="2" fillId="0" borderId="1" xfId="0" applyNumberFormat="1" applyFont="1" applyFill="1" applyBorder="1"/>
    <xf numFmtId="165" fontId="3" fillId="0" borderId="1" xfId="0" applyNumberFormat="1" applyFont="1" applyFill="1" applyBorder="1" applyAlignment="1">
      <alignment vertical="top"/>
    </xf>
    <xf numFmtId="165" fontId="2" fillId="0" borderId="1" xfId="0"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lignment vertical="top"/>
    </xf>
    <xf numFmtId="0" fontId="8" fillId="0" borderId="1" xfId="0" applyFont="1" applyFill="1" applyBorder="1" applyAlignment="1">
      <alignment horizontal="left" vertical="top" wrapText="1"/>
    </xf>
    <xf numFmtId="49" fontId="0" fillId="0" borderId="0" xfId="0" applyNumberFormat="1" applyFill="1"/>
    <xf numFmtId="0" fontId="0" fillId="0" borderId="0" xfId="0" applyFill="1"/>
    <xf numFmtId="49" fontId="6"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wrapText="1"/>
    </xf>
    <xf numFmtId="49" fontId="0" fillId="0" borderId="0" xfId="0" applyNumberFormat="1" applyFill="1" applyAlignment="1">
      <alignment vertical="top"/>
    </xf>
    <xf numFmtId="0" fontId="0" fillId="0" borderId="0" xfId="0" applyFill="1" applyAlignment="1">
      <alignment vertical="top" wrapText="1"/>
    </xf>
    <xf numFmtId="0" fontId="0" fillId="0" borderId="0" xfId="0" applyFill="1" applyAlignment="1">
      <alignment vertical="top"/>
    </xf>
    <xf numFmtId="0" fontId="0" fillId="0" borderId="0" xfId="0" applyFill="1" applyAlignment="1">
      <alignment wrapText="1"/>
    </xf>
    <xf numFmtId="0" fontId="0" fillId="0" borderId="0" xfId="0" applyFont="1" applyFill="1" applyAlignment="1">
      <alignment horizontal="left"/>
    </xf>
    <xf numFmtId="0" fontId="6" fillId="0" borderId="1" xfId="0" applyFont="1" applyFill="1" applyBorder="1" applyAlignment="1">
      <alignment horizontal="left" vertical="top" wrapText="1"/>
    </xf>
    <xf numFmtId="0" fontId="2" fillId="0" borderId="0" xfId="0" applyFont="1" applyFill="1" applyAlignment="1">
      <alignment vertical="top"/>
    </xf>
    <xf numFmtId="0" fontId="7" fillId="0" borderId="6" xfId="0" applyFont="1" applyFill="1" applyBorder="1" applyAlignment="1">
      <alignment vertical="top" wrapText="1"/>
    </xf>
    <xf numFmtId="0" fontId="2" fillId="0" borderId="0" xfId="0" applyFont="1" applyFill="1" applyAlignment="1">
      <alignment horizontal="left"/>
    </xf>
    <xf numFmtId="0" fontId="0" fillId="0" borderId="1" xfId="0" applyFont="1" applyFill="1" applyBorder="1"/>
    <xf numFmtId="165" fontId="3" fillId="0" borderId="0" xfId="0" applyNumberFormat="1" applyFont="1" applyFill="1" applyBorder="1" applyAlignment="1">
      <alignment vertical="top"/>
    </xf>
    <xf numFmtId="49" fontId="16" fillId="0" borderId="1" xfId="0" applyNumberFormat="1" applyFont="1" applyFill="1" applyBorder="1" applyAlignment="1">
      <alignment horizontal="center" vertical="top"/>
    </xf>
    <xf numFmtId="0" fontId="16" fillId="0" borderId="1" xfId="0" applyFont="1" applyFill="1" applyBorder="1" applyAlignment="1">
      <alignment horizontal="center" vertical="top"/>
    </xf>
    <xf numFmtId="0" fontId="16" fillId="0" borderId="1" xfId="0" applyFont="1" applyFill="1" applyBorder="1" applyAlignment="1">
      <alignment horizontal="center" vertical="top" wrapText="1"/>
    </xf>
    <xf numFmtId="165" fontId="9" fillId="0" borderId="1" xfId="0" applyNumberFormat="1" applyFont="1" applyFill="1" applyBorder="1" applyAlignment="1">
      <alignment horizontal="right" vertical="top"/>
    </xf>
    <xf numFmtId="165" fontId="7" fillId="0" borderId="1" xfId="0" applyNumberFormat="1" applyFont="1" applyFill="1" applyBorder="1" applyAlignment="1">
      <alignment vertical="top"/>
    </xf>
    <xf numFmtId="0" fontId="3" fillId="0" borderId="5" xfId="0" applyFont="1" applyFill="1" applyBorder="1" applyAlignment="1">
      <alignment vertical="top" wrapText="1"/>
    </xf>
    <xf numFmtId="165" fontId="0" fillId="0" borderId="0" xfId="0" applyNumberFormat="1" applyFont="1" applyFill="1"/>
    <xf numFmtId="49" fontId="8"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top" wrapText="1"/>
    </xf>
    <xf numFmtId="0" fontId="2" fillId="0" borderId="0" xfId="0" applyFont="1" applyFill="1" applyAlignment="1">
      <alignment horizontal="center"/>
    </xf>
    <xf numFmtId="0" fontId="0" fillId="0" borderId="0" xfId="0" applyFill="1" applyAlignment="1"/>
    <xf numFmtId="0" fontId="3" fillId="0" borderId="6" xfId="0"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49" fontId="0" fillId="0" borderId="0" xfId="0" applyNumberFormat="1"/>
    <xf numFmtId="0" fontId="2" fillId="0" borderId="0" xfId="0" applyFont="1" applyAlignment="1">
      <alignment horizontal="right"/>
    </xf>
    <xf numFmtId="0" fontId="12" fillId="0" borderId="0" xfId="0" applyFont="1"/>
    <xf numFmtId="0" fontId="1" fillId="0" borderId="0" xfId="0" applyFont="1" applyFill="1" applyAlignment="1">
      <alignment horizontal="center"/>
    </xf>
    <xf numFmtId="0" fontId="1" fillId="0" borderId="0" xfId="0" applyFont="1" applyAlignment="1">
      <alignment horizontal="center"/>
    </xf>
    <xf numFmtId="49" fontId="3" fillId="0" borderId="0" xfId="0" applyNumberFormat="1" applyFont="1" applyAlignment="1"/>
    <xf numFmtId="0" fontId="3" fillId="0" borderId="0" xfId="0" applyFont="1" applyAlignment="1"/>
    <xf numFmtId="0" fontId="3" fillId="0" borderId="0" xfId="0" applyFont="1" applyFill="1" applyAlignment="1"/>
    <xf numFmtId="0" fontId="2"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6" fillId="0" borderId="10" xfId="0" applyNumberFormat="1" applyFont="1" applyFill="1" applyBorder="1" applyAlignment="1">
      <alignment vertical="top" wrapText="1"/>
    </xf>
    <xf numFmtId="0" fontId="3" fillId="0" borderId="11" xfId="0" applyFont="1" applyFill="1" applyBorder="1" applyAlignment="1">
      <alignment horizontal="left" vertical="top" wrapText="1"/>
    </xf>
    <xf numFmtId="4" fontId="3" fillId="3"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164" fontId="3" fillId="0" borderId="1" xfId="0" applyNumberFormat="1" applyFont="1" applyFill="1" applyBorder="1" applyAlignment="1">
      <alignment vertical="top"/>
    </xf>
    <xf numFmtId="4" fontId="7" fillId="0" borderId="1" xfId="1" applyNumberFormat="1" applyFont="1" applyFill="1" applyBorder="1" applyAlignment="1">
      <alignment horizontal="right" vertical="top"/>
    </xf>
    <xf numFmtId="164" fontId="3" fillId="0" borderId="1" xfId="0" applyNumberFormat="1" applyFont="1" applyFill="1" applyBorder="1" applyAlignment="1">
      <alignment horizontal="right" vertical="top"/>
    </xf>
    <xf numFmtId="164" fontId="16" fillId="0" borderId="1" xfId="0" applyNumberFormat="1" applyFont="1" applyFill="1" applyBorder="1" applyAlignment="1">
      <alignment vertical="top"/>
    </xf>
    <xf numFmtId="49"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0" xfId="0" applyFont="1"/>
    <xf numFmtId="49" fontId="17" fillId="0" borderId="0" xfId="0" applyNumberFormat="1" applyFont="1"/>
    <xf numFmtId="0" fontId="17" fillId="0" borderId="0" xfId="0" applyFont="1"/>
    <xf numFmtId="0" fontId="17" fillId="0" borderId="0" xfId="0" applyFont="1" applyFill="1"/>
    <xf numFmtId="2" fontId="3" fillId="0" borderId="0" xfId="0" applyNumberFormat="1" applyFont="1"/>
    <xf numFmtId="49" fontId="3" fillId="0" borderId="0" xfId="0" applyNumberFormat="1" applyFont="1"/>
    <xf numFmtId="0" fontId="3" fillId="0" borderId="0" xfId="0" applyFont="1" applyFill="1"/>
    <xf numFmtId="0" fontId="3" fillId="0" borderId="11" xfId="0" applyFont="1" applyFill="1" applyBorder="1" applyAlignment="1">
      <alignment vertical="top" wrapText="1"/>
    </xf>
    <xf numFmtId="0" fontId="3" fillId="0" borderId="11" xfId="0" applyFont="1" applyFill="1" applyBorder="1" applyAlignment="1">
      <alignment vertical="center" wrapText="1"/>
    </xf>
    <xf numFmtId="0" fontId="3" fillId="0" borderId="0" xfId="0" applyFont="1" applyFill="1" applyAlignment="1">
      <alignment vertical="center" wrapText="1"/>
    </xf>
    <xf numFmtId="0" fontId="3" fillId="0" borderId="1" xfId="0" applyFont="1" applyBorder="1" applyAlignment="1">
      <alignment horizontal="left" vertical="top" wrapText="1"/>
    </xf>
    <xf numFmtId="0" fontId="6" fillId="0" borderId="10" xfId="0" applyNumberFormat="1" applyFont="1" applyFill="1" applyBorder="1" applyAlignment="1">
      <alignment horizontal="left" vertical="top" wrapText="1"/>
    </xf>
    <xf numFmtId="165" fontId="7" fillId="2" borderId="1" xfId="1" applyNumberFormat="1" applyFont="1" applyFill="1" applyBorder="1" applyAlignment="1">
      <alignment horizontal="right" vertical="top"/>
    </xf>
    <xf numFmtId="49" fontId="7" fillId="4" borderId="5" xfId="0" applyNumberFormat="1" applyFont="1" applyFill="1" applyBorder="1" applyAlignment="1">
      <alignment horizontal="center" vertical="top"/>
    </xf>
    <xf numFmtId="0" fontId="7" fillId="4" borderId="1" xfId="0" applyFont="1" applyFill="1" applyBorder="1" applyAlignment="1">
      <alignment horizontal="left" vertical="top" wrapText="1"/>
    </xf>
    <xf numFmtId="0" fontId="7" fillId="4" borderId="1" xfId="0" applyFont="1" applyFill="1" applyBorder="1" applyAlignment="1">
      <alignment horizontal="center" vertical="top"/>
    </xf>
    <xf numFmtId="49" fontId="7" fillId="4" borderId="1" xfId="0" applyNumberFormat="1" applyFont="1" applyFill="1" applyBorder="1" applyAlignment="1">
      <alignment horizontal="center" vertical="top" wrapText="1"/>
    </xf>
    <xf numFmtId="49" fontId="7" fillId="4" borderId="1" xfId="0" applyNumberFormat="1" applyFont="1" applyFill="1" applyBorder="1" applyAlignment="1">
      <alignment horizontal="center" vertical="top"/>
    </xf>
    <xf numFmtId="0" fontId="0" fillId="4" borderId="0" xfId="0" applyFont="1" applyFill="1"/>
    <xf numFmtId="165" fontId="7" fillId="4" borderId="1" xfId="0" applyNumberFormat="1" applyFont="1" applyFill="1" applyBorder="1" applyAlignment="1">
      <alignment vertical="top"/>
    </xf>
    <xf numFmtId="165" fontId="3" fillId="4" borderId="1" xfId="0" applyNumberFormat="1" applyFont="1" applyFill="1" applyBorder="1" applyAlignment="1">
      <alignment vertical="top"/>
    </xf>
    <xf numFmtId="0" fontId="8" fillId="4" borderId="1" xfId="0" applyFont="1" applyFill="1" applyBorder="1" applyAlignment="1">
      <alignment horizontal="left" vertical="top" wrapText="1"/>
    </xf>
    <xf numFmtId="0" fontId="14" fillId="4" borderId="0" xfId="0" applyFont="1" applyFill="1"/>
    <xf numFmtId="165" fontId="3" fillId="0" borderId="11" xfId="0" applyNumberFormat="1" applyFont="1" applyFill="1" applyBorder="1" applyAlignment="1">
      <alignment vertical="top"/>
    </xf>
    <xf numFmtId="165" fontId="0" fillId="0" borderId="0" xfId="0" applyNumberFormat="1" applyFont="1" applyFill="1" applyBorder="1"/>
    <xf numFmtId="0" fontId="3" fillId="0" borderId="6" xfId="0" applyFont="1" applyFill="1" applyBorder="1" applyAlignment="1">
      <alignment horizontal="center" vertical="top" wrapText="1"/>
    </xf>
    <xf numFmtId="0" fontId="3" fillId="0" borderId="1" xfId="0" applyFont="1" applyFill="1" applyBorder="1" applyAlignment="1">
      <alignment horizontal="left" vertical="top" wrapText="1"/>
    </xf>
    <xf numFmtId="49" fontId="16" fillId="0" borderId="5" xfId="0" applyNumberFormat="1" applyFont="1" applyFill="1" applyBorder="1" applyAlignment="1">
      <alignment horizontal="center" vertical="top"/>
    </xf>
    <xf numFmtId="0" fontId="16" fillId="0" borderId="5" xfId="0" applyFont="1" applyFill="1" applyBorder="1" applyAlignment="1">
      <alignment vertical="top" wrapText="1"/>
    </xf>
    <xf numFmtId="0" fontId="16" fillId="0" borderId="5" xfId="0" applyFont="1" applyBorder="1" applyAlignment="1">
      <alignment horizontal="left" vertical="top" wrapText="1"/>
    </xf>
    <xf numFmtId="0" fontId="16" fillId="0" borderId="5" xfId="0" applyFont="1" applyBorder="1" applyAlignment="1">
      <alignment horizontal="center" vertical="top" wrapText="1"/>
    </xf>
    <xf numFmtId="0" fontId="16" fillId="3" borderId="1" xfId="0" applyFont="1" applyFill="1" applyBorder="1" applyAlignment="1">
      <alignment horizontal="center" vertical="top" wrapText="1"/>
    </xf>
    <xf numFmtId="164" fontId="16" fillId="0" borderId="5" xfId="0" applyNumberFormat="1" applyFont="1" applyBorder="1" applyAlignment="1">
      <alignment horizontal="center" vertical="top" wrapText="1"/>
    </xf>
    <xf numFmtId="0" fontId="16" fillId="0" borderId="0" xfId="0" applyFont="1"/>
    <xf numFmtId="49" fontId="16" fillId="0" borderId="5" xfId="0" applyNumberFormat="1" applyFont="1" applyFill="1" applyBorder="1" applyAlignment="1">
      <alignment horizontal="center" vertical="top" wrapText="1"/>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164" fontId="16" fillId="3" borderId="1" xfId="0" applyNumberFormat="1" applyFont="1" applyFill="1" applyBorder="1" applyAlignment="1">
      <alignment horizontal="center" vertical="top" wrapText="1"/>
    </xf>
    <xf numFmtId="0" fontId="7" fillId="0" borderId="10" xfId="0" applyNumberFormat="1" applyFont="1" applyFill="1" applyBorder="1" applyAlignment="1">
      <alignment vertical="top" wrapText="1"/>
    </xf>
    <xf numFmtId="0" fontId="7" fillId="0" borderId="10" xfId="0" applyNumberFormat="1" applyFont="1" applyFill="1" applyBorder="1" applyAlignment="1">
      <alignment horizontal="left"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164" fontId="7" fillId="3" borderId="1" xfId="0" applyNumberFormat="1" applyFont="1" applyFill="1" applyBorder="1" applyAlignment="1">
      <alignment horizontal="center" vertical="top" wrapText="1"/>
    </xf>
    <xf numFmtId="0" fontId="7" fillId="0" borderId="0" xfId="0" applyFont="1"/>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16" fillId="0" borderId="5" xfId="0" applyFont="1" applyFill="1" applyBorder="1" applyAlignment="1">
      <alignment horizontal="center" vertical="top" wrapText="1"/>
    </xf>
    <xf numFmtId="0" fontId="16" fillId="0" borderId="12" xfId="0" applyFont="1" applyFill="1" applyBorder="1" applyAlignment="1">
      <alignment vertical="top" wrapText="1"/>
    </xf>
    <xf numFmtId="49" fontId="16" fillId="0" borderId="1" xfId="0" applyNumberFormat="1" applyFont="1" applyFill="1" applyBorder="1" applyAlignment="1">
      <alignment horizontal="left" vertical="top" wrapText="1"/>
    </xf>
    <xf numFmtId="4" fontId="16" fillId="3" borderId="1" xfId="0" applyNumberFormat="1" applyFont="1" applyFill="1" applyBorder="1" applyAlignment="1">
      <alignment horizontal="center" vertical="top" wrapText="1"/>
    </xf>
    <xf numFmtId="0" fontId="7" fillId="0" borderId="5" xfId="0" applyFont="1" applyFill="1" applyBorder="1" applyAlignment="1">
      <alignment horizontal="left" vertical="top" wrapText="1"/>
    </xf>
    <xf numFmtId="49" fontId="7" fillId="0" borderId="5" xfId="0" applyNumberFormat="1" applyFont="1" applyFill="1" applyBorder="1" applyAlignment="1">
      <alignment horizontal="center" vertical="top"/>
    </xf>
    <xf numFmtId="49" fontId="7" fillId="0" borderId="6" xfId="0" applyNumberFormat="1" applyFont="1" applyFill="1" applyBorder="1" applyAlignment="1">
      <alignment horizontal="center" vertical="top"/>
    </xf>
    <xf numFmtId="49" fontId="7" fillId="0" borderId="5" xfId="0"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5" xfId="0" applyFont="1" applyFill="1" applyBorder="1" applyAlignment="1">
      <alignment horizontal="left" vertical="top" wrapText="1"/>
    </xf>
    <xf numFmtId="49" fontId="3" fillId="0" borderId="5" xfId="0" applyNumberFormat="1" applyFont="1" applyFill="1" applyBorder="1" applyAlignment="1">
      <alignment horizontal="center" vertical="center"/>
    </xf>
    <xf numFmtId="0" fontId="7" fillId="0" borderId="5" xfId="0" applyFont="1" applyFill="1" applyBorder="1" applyAlignment="1">
      <alignment horizontal="center" vertical="top"/>
    </xf>
    <xf numFmtId="0" fontId="7" fillId="0" borderId="6" xfId="0" applyFont="1" applyFill="1" applyBorder="1" applyAlignment="1">
      <alignment horizontal="center" vertical="top"/>
    </xf>
    <xf numFmtId="0" fontId="7" fillId="4" borderId="5" xfId="0" applyFont="1" applyFill="1" applyBorder="1" applyAlignment="1">
      <alignment horizontal="left" vertical="top" wrapText="1"/>
    </xf>
    <xf numFmtId="4" fontId="10" fillId="0" borderId="1" xfId="0" applyNumberFormat="1" applyFont="1" applyFill="1" applyBorder="1" applyAlignment="1">
      <alignment horizontal="center" vertical="center" wrapText="1"/>
    </xf>
    <xf numFmtId="0" fontId="2" fillId="0" borderId="0" xfId="0" applyFont="1" applyFill="1" applyAlignment="1">
      <alignment horizontal="center"/>
    </xf>
    <xf numFmtId="0" fontId="3" fillId="0" borderId="0" xfId="0" applyFont="1" applyFill="1" applyAlignment="1">
      <alignment horizontal="left"/>
    </xf>
    <xf numFmtId="0" fontId="8" fillId="4" borderId="5" xfId="0" applyFont="1" applyFill="1" applyBorder="1" applyAlignment="1">
      <alignment horizontal="left" vertical="top" wrapText="1"/>
    </xf>
    <xf numFmtId="49" fontId="3" fillId="4" borderId="5" xfId="0" applyNumberFormat="1" applyFont="1" applyFill="1" applyBorder="1" applyAlignment="1">
      <alignment horizontal="center" vertical="top"/>
    </xf>
    <xf numFmtId="0" fontId="3" fillId="0" borderId="6" xfId="0"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6" xfId="0"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165" fontId="7" fillId="2" borderId="1" xfId="0" applyNumberFormat="1" applyFont="1" applyFill="1" applyBorder="1" applyAlignment="1">
      <alignment vertical="top"/>
    </xf>
    <xf numFmtId="165" fontId="3" fillId="2" borderId="1" xfId="0" applyNumberFormat="1" applyFont="1" applyFill="1" applyBorder="1" applyAlignment="1">
      <alignment vertical="top"/>
    </xf>
    <xf numFmtId="0" fontId="10" fillId="0" borderId="1" xfId="0" applyFont="1" applyFill="1" applyBorder="1" applyAlignment="1">
      <alignment horizontal="center" vertical="center" wrapText="1"/>
    </xf>
    <xf numFmtId="0" fontId="7" fillId="0" borderId="5" xfId="0" applyFont="1" applyFill="1" applyBorder="1" applyAlignment="1">
      <alignment horizontal="left" vertical="top" wrapText="1"/>
    </xf>
    <xf numFmtId="49" fontId="7" fillId="0" borderId="5" xfId="0" applyNumberFormat="1" applyFont="1" applyFill="1" applyBorder="1" applyAlignment="1">
      <alignment horizontal="center" vertical="top"/>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xf>
    <xf numFmtId="0" fontId="2" fillId="0" borderId="0" xfId="0" applyFont="1" applyFill="1" applyAlignment="1">
      <alignment horizontal="center"/>
    </xf>
    <xf numFmtId="165" fontId="9" fillId="0" borderId="1" xfId="0" applyNumberFormat="1" applyFont="1" applyFill="1" applyBorder="1"/>
    <xf numFmtId="4" fontId="3" fillId="0" borderId="1" xfId="0" applyNumberFormat="1" applyFont="1" applyFill="1" applyBorder="1" applyAlignment="1">
      <alignment horizontal="center" vertical="top" wrapText="1"/>
    </xf>
    <xf numFmtId="165" fontId="14" fillId="0" borderId="0" xfId="0" applyNumberFormat="1" applyFont="1" applyFill="1"/>
    <xf numFmtId="4"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165" fontId="3" fillId="0" borderId="7" xfId="0" applyNumberFormat="1" applyFont="1" applyFill="1" applyBorder="1" applyAlignment="1">
      <alignment vertical="top"/>
    </xf>
    <xf numFmtId="164" fontId="7" fillId="0" borderId="1" xfId="0" applyNumberFormat="1" applyFont="1" applyFill="1" applyBorder="1" applyAlignment="1">
      <alignment horizontal="center" vertical="top" wrapText="1"/>
    </xf>
    <xf numFmtId="2" fontId="3" fillId="0" borderId="0" xfId="0" applyNumberFormat="1" applyFont="1" applyFill="1"/>
    <xf numFmtId="0" fontId="16" fillId="0" borderId="6" xfId="0" applyFont="1" applyFill="1" applyBorder="1" applyAlignment="1">
      <alignment horizontal="center" vertical="top" wrapText="1"/>
    </xf>
    <xf numFmtId="4" fontId="16" fillId="0" borderId="1" xfId="0" applyNumberFormat="1" applyFont="1" applyFill="1" applyBorder="1" applyAlignment="1">
      <alignment horizontal="center" vertical="top" wrapText="1"/>
    </xf>
    <xf numFmtId="0" fontId="18" fillId="0" borderId="0" xfId="0" applyFont="1" applyFill="1"/>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165" fontId="2" fillId="2" borderId="1" xfId="0" applyNumberFormat="1" applyFont="1" applyFill="1" applyBorder="1" applyAlignment="1">
      <alignment horizontal="right" vertical="top"/>
    </xf>
    <xf numFmtId="49" fontId="3" fillId="5" borderId="6" xfId="0" applyNumberFormat="1" applyFont="1" applyFill="1" applyBorder="1" applyAlignment="1">
      <alignment horizontal="center" vertical="top"/>
    </xf>
    <xf numFmtId="49" fontId="3" fillId="5" borderId="1" xfId="0" applyNumberFormat="1" applyFont="1" applyFill="1" applyBorder="1" applyAlignment="1">
      <alignment horizontal="center" vertical="top"/>
    </xf>
    <xf numFmtId="49" fontId="7" fillId="5" borderId="1" xfId="0" applyNumberFormat="1" applyFont="1" applyFill="1" applyBorder="1" applyAlignment="1">
      <alignment horizontal="center" vertical="top"/>
    </xf>
    <xf numFmtId="0" fontId="3" fillId="5"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top"/>
    </xf>
    <xf numFmtId="165" fontId="3" fillId="5" borderId="1" xfId="0" applyNumberFormat="1" applyFont="1" applyFill="1" applyBorder="1" applyAlignment="1">
      <alignment vertical="top"/>
    </xf>
    <xf numFmtId="0" fontId="0" fillId="5" borderId="0" xfId="0" applyFont="1" applyFill="1"/>
    <xf numFmtId="0" fontId="7" fillId="5" borderId="1" xfId="0" applyFont="1" applyFill="1" applyBorder="1" applyAlignment="1">
      <alignment horizontal="center" vertical="top" wrapText="1"/>
    </xf>
    <xf numFmtId="49" fontId="7" fillId="5" borderId="1" xfId="0" applyNumberFormat="1" applyFont="1" applyFill="1" applyBorder="1" applyAlignment="1">
      <alignment horizontal="center" vertical="top" wrapText="1"/>
    </xf>
    <xf numFmtId="165" fontId="7" fillId="5" borderId="1" xfId="1" applyNumberFormat="1" applyFont="1" applyFill="1" applyBorder="1" applyAlignment="1">
      <alignment vertical="top"/>
    </xf>
    <xf numFmtId="165" fontId="7" fillId="5" borderId="1" xfId="1" applyNumberFormat="1" applyFont="1" applyFill="1" applyBorder="1" applyAlignment="1">
      <alignment horizontal="right" vertical="top"/>
    </xf>
    <xf numFmtId="0" fontId="3" fillId="5" borderId="5" xfId="0" applyFont="1" applyFill="1" applyBorder="1" applyAlignment="1">
      <alignment horizontal="left" vertical="top" wrapText="1"/>
    </xf>
    <xf numFmtId="0" fontId="7" fillId="5" borderId="5" xfId="0" applyFont="1" applyFill="1" applyBorder="1" applyAlignment="1">
      <alignment horizontal="center" vertical="top"/>
    </xf>
    <xf numFmtId="0" fontId="7" fillId="5" borderId="5" xfId="0" applyFont="1" applyFill="1" applyBorder="1" applyAlignment="1">
      <alignment horizontal="center" vertical="top" wrapText="1"/>
    </xf>
    <xf numFmtId="49" fontId="7" fillId="5" borderId="5" xfId="0" applyNumberFormat="1" applyFont="1" applyFill="1" applyBorder="1" applyAlignment="1">
      <alignment horizontal="center" vertical="top" wrapText="1"/>
    </xf>
    <xf numFmtId="165" fontId="7" fillId="4" borderId="1" xfId="1" applyNumberFormat="1" applyFont="1" applyFill="1" applyBorder="1" applyAlignment="1">
      <alignment horizontal="right" vertical="top"/>
    </xf>
    <xf numFmtId="165" fontId="2" fillId="4" borderId="1" xfId="0" applyNumberFormat="1" applyFont="1" applyFill="1" applyBorder="1" applyAlignment="1">
      <alignment horizontal="right" vertical="top"/>
    </xf>
    <xf numFmtId="0" fontId="7" fillId="0" borderId="1" xfId="0" applyFont="1" applyFill="1" applyBorder="1" applyAlignment="1">
      <alignment horizontal="center" vertical="top" wrapText="1"/>
    </xf>
    <xf numFmtId="49" fontId="3" fillId="0" borderId="6" xfId="0" applyNumberFormat="1" applyFont="1" applyFill="1" applyBorder="1" applyAlignment="1">
      <alignment horizontal="center" vertical="top"/>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center" vertical="top"/>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49" fontId="7" fillId="0" borderId="5" xfId="0" applyNumberFormat="1" applyFont="1" applyFill="1" applyBorder="1" applyAlignment="1">
      <alignment horizontal="center" vertical="top"/>
    </xf>
    <xf numFmtId="49" fontId="7" fillId="0" borderId="6" xfId="0" applyNumberFormat="1" applyFont="1" applyFill="1" applyBorder="1" applyAlignment="1">
      <alignment horizontal="center" vertical="top"/>
    </xf>
    <xf numFmtId="0" fontId="7" fillId="0" borderId="5" xfId="0" applyFont="1" applyFill="1" applyBorder="1" applyAlignment="1">
      <alignment horizontal="center" vertical="top" wrapText="1"/>
    </xf>
    <xf numFmtId="0" fontId="7" fillId="0" borderId="5" xfId="0" applyFont="1" applyFill="1" applyBorder="1" applyAlignment="1">
      <alignment horizontal="left" vertical="top" wrapText="1"/>
    </xf>
    <xf numFmtId="0" fontId="7" fillId="0" borderId="5" xfId="0" applyFont="1" applyFill="1" applyBorder="1" applyAlignment="1">
      <alignment horizontal="center" vertical="top"/>
    </xf>
    <xf numFmtId="0" fontId="7" fillId="0" borderId="6" xfId="0" applyFont="1" applyFill="1" applyBorder="1" applyAlignment="1">
      <alignment horizontal="center" vertical="top"/>
    </xf>
    <xf numFmtId="49" fontId="7" fillId="0" borderId="5" xfId="0" applyNumberFormat="1" applyFont="1" applyFill="1" applyBorder="1" applyAlignment="1">
      <alignment horizontal="center" vertical="top"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3" fillId="0" borderId="5" xfId="0" applyFont="1" applyFill="1" applyBorder="1" applyAlignment="1">
      <alignment horizontal="left" vertical="top" wrapText="1"/>
    </xf>
    <xf numFmtId="0" fontId="3" fillId="0" borderId="6" xfId="0" applyFont="1" applyFill="1" applyBorder="1" applyAlignment="1">
      <alignment horizontal="center" vertical="top" wrapText="1"/>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49" fontId="3" fillId="4" borderId="5" xfId="0" applyNumberFormat="1" applyFont="1" applyFill="1" applyBorder="1" applyAlignment="1">
      <alignment horizontal="center" vertical="top"/>
    </xf>
    <xf numFmtId="0" fontId="8" fillId="4" borderId="5" xfId="0" applyFont="1" applyFill="1" applyBorder="1" applyAlignment="1">
      <alignment horizontal="left" vertical="top" wrapText="1"/>
    </xf>
    <xf numFmtId="0" fontId="7" fillId="4" borderId="5" xfId="0" applyFont="1" applyFill="1" applyBorder="1" applyAlignment="1">
      <alignment horizontal="left" vertical="top" wrapText="1"/>
    </xf>
    <xf numFmtId="0" fontId="3" fillId="0" borderId="0" xfId="0" applyFont="1" applyFill="1" applyAlignment="1">
      <alignment horizontal="left"/>
    </xf>
    <xf numFmtId="4" fontId="10" fillId="0" borderId="1" xfId="0" applyNumberFormat="1" applyFont="1" applyFill="1" applyBorder="1" applyAlignment="1">
      <alignment horizontal="center" vertical="center" wrapText="1"/>
    </xf>
    <xf numFmtId="0" fontId="2" fillId="0" borderId="0" xfId="0" applyFont="1" applyFill="1" applyAlignment="1">
      <alignment horizontal="center"/>
    </xf>
    <xf numFmtId="4" fontId="2" fillId="0" borderId="0" xfId="0" applyNumberFormat="1" applyFont="1" applyFill="1" applyAlignment="1">
      <alignment vertical="top"/>
    </xf>
    <xf numFmtId="4" fontId="2" fillId="5" borderId="0" xfId="0" applyNumberFormat="1" applyFont="1" applyFill="1" applyAlignment="1">
      <alignment vertical="top"/>
    </xf>
    <xf numFmtId="4" fontId="9" fillId="0" borderId="0" xfId="0" applyNumberFormat="1" applyFont="1" applyFill="1" applyAlignment="1">
      <alignment vertical="top"/>
    </xf>
    <xf numFmtId="4" fontId="2" fillId="4" borderId="0" xfId="0" applyNumberFormat="1" applyFont="1" applyFill="1" applyAlignment="1">
      <alignment vertical="top"/>
    </xf>
    <xf numFmtId="4" fontId="9" fillId="4" borderId="0" xfId="0" applyNumberFormat="1" applyFont="1" applyFill="1" applyAlignment="1">
      <alignment vertical="top"/>
    </xf>
    <xf numFmtId="4" fontId="1" fillId="0" borderId="0" xfId="0" applyNumberFormat="1" applyFont="1" applyFill="1" applyAlignment="1">
      <alignment vertical="top"/>
    </xf>
    <xf numFmtId="4" fontId="2" fillId="2" borderId="0" xfId="0" applyNumberFormat="1" applyFont="1" applyFill="1" applyAlignment="1">
      <alignment vertical="top"/>
    </xf>
    <xf numFmtId="4" fontId="1" fillId="2" borderId="0" xfId="0" applyNumberFormat="1" applyFont="1" applyFill="1" applyAlignment="1">
      <alignment vertical="top"/>
    </xf>
    <xf numFmtId="4" fontId="0" fillId="0" borderId="0" xfId="0" applyNumberFormat="1" applyFont="1" applyFill="1"/>
    <xf numFmtId="49" fontId="10" fillId="0" borderId="0" xfId="0" applyNumberFormat="1" applyFont="1"/>
    <xf numFmtId="0" fontId="10" fillId="0" borderId="0" xfId="0" applyFont="1"/>
    <xf numFmtId="0" fontId="10" fillId="0" borderId="0" xfId="0" applyFont="1" applyAlignment="1">
      <alignment wrapText="1"/>
    </xf>
    <xf numFmtId="0" fontId="10" fillId="2" borderId="0" xfId="0" applyFont="1" applyFill="1"/>
    <xf numFmtId="0" fontId="10" fillId="0" borderId="0" xfId="0" applyFont="1" applyFill="1"/>
    <xf numFmtId="0" fontId="21" fillId="0" borderId="0" xfId="0" applyFont="1"/>
    <xf numFmtId="49" fontId="10" fillId="0" borderId="1" xfId="0" applyNumberFormat="1" applyFont="1" applyFill="1" applyBorder="1" applyAlignment="1">
      <alignment horizontal="center" vertical="top"/>
    </xf>
    <xf numFmtId="49" fontId="10" fillId="8" borderId="1" xfId="0" applyNumberFormat="1" applyFont="1" applyFill="1" applyBorder="1" applyAlignment="1">
      <alignment horizontal="center" vertical="top"/>
    </xf>
    <xf numFmtId="0" fontId="10" fillId="0" borderId="1" xfId="0" applyFont="1" applyFill="1" applyBorder="1" applyAlignment="1">
      <alignment horizontal="center" vertical="top"/>
    </xf>
    <xf numFmtId="0" fontId="10" fillId="0" borderId="1" xfId="0" applyFont="1" applyFill="1" applyBorder="1" applyAlignment="1">
      <alignment horizontal="justify" vertical="top"/>
    </xf>
    <xf numFmtId="164" fontId="10" fillId="2" borderId="1" xfId="0" applyNumberFormat="1" applyFont="1" applyFill="1" applyBorder="1" applyAlignment="1">
      <alignment horizontal="center" vertical="top"/>
    </xf>
    <xf numFmtId="164" fontId="10" fillId="0" borderId="1" xfId="0" applyNumberFormat="1" applyFont="1" applyFill="1" applyBorder="1" applyAlignment="1">
      <alignment horizontal="center" vertical="top"/>
    </xf>
    <xf numFmtId="49" fontId="10" fillId="0" borderId="1" xfId="0" applyNumberFormat="1" applyFont="1" applyBorder="1" applyAlignment="1">
      <alignment horizontal="center" vertical="top"/>
    </xf>
    <xf numFmtId="0" fontId="10" fillId="0" borderId="1" xfId="0" applyFont="1" applyBorder="1" applyAlignment="1">
      <alignment horizontal="center" vertical="top"/>
    </xf>
    <xf numFmtId="0" fontId="10" fillId="0" borderId="1" xfId="0" applyFont="1" applyFill="1" applyBorder="1" applyAlignment="1">
      <alignment vertical="top" wrapText="1"/>
    </xf>
    <xf numFmtId="164" fontId="10" fillId="0" borderId="1" xfId="0" applyNumberFormat="1" applyFont="1" applyFill="1" applyBorder="1" applyAlignment="1">
      <alignment horizontal="center" vertical="top" wrapText="1"/>
    </xf>
    <xf numFmtId="0" fontId="10" fillId="8" borderId="1" xfId="0" applyFont="1" applyFill="1" applyBorder="1" applyAlignment="1">
      <alignment horizontal="center" vertical="top"/>
    </xf>
    <xf numFmtId="0" fontId="10" fillId="0" borderId="1" xfId="0" applyFont="1" applyBorder="1" applyAlignment="1">
      <alignment horizontal="justify" vertical="top"/>
    </xf>
    <xf numFmtId="0" fontId="10" fillId="0" borderId="1" xfId="0" applyFont="1" applyBorder="1" applyAlignment="1">
      <alignment horizontal="center" vertical="top" wrapText="1"/>
    </xf>
    <xf numFmtId="0" fontId="10" fillId="2" borderId="1" xfId="0" applyFont="1" applyFill="1" applyBorder="1" applyAlignment="1">
      <alignment horizontal="center" vertical="top"/>
    </xf>
    <xf numFmtId="165" fontId="10" fillId="2" borderId="1" xfId="0" applyNumberFormat="1" applyFont="1" applyFill="1" applyBorder="1" applyAlignment="1">
      <alignment horizontal="center" vertical="top"/>
    </xf>
    <xf numFmtId="165" fontId="10" fillId="0" borderId="1" xfId="0" applyNumberFormat="1" applyFont="1" applyFill="1" applyBorder="1" applyAlignment="1">
      <alignment horizontal="center" vertical="top"/>
    </xf>
    <xf numFmtId="0" fontId="23"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2" fontId="10" fillId="0" borderId="1" xfId="0" applyNumberFormat="1" applyFont="1" applyBorder="1" applyAlignment="1">
      <alignment horizontal="center" vertical="top" wrapText="1"/>
    </xf>
    <xf numFmtId="0" fontId="21" fillId="0" borderId="0" xfId="0" applyFont="1" applyFill="1"/>
    <xf numFmtId="49" fontId="10" fillId="0" borderId="1" xfId="0" applyNumberFormat="1" applyFont="1" applyBorder="1" applyAlignment="1">
      <alignment vertical="top" wrapText="1"/>
    </xf>
    <xf numFmtId="49" fontId="7" fillId="0" borderId="0" xfId="0" applyNumberFormat="1" applyFont="1" applyFill="1"/>
    <xf numFmtId="0" fontId="7" fillId="0" borderId="0" xfId="0" applyFont="1" applyFill="1"/>
    <xf numFmtId="0" fontId="24" fillId="0" borderId="1" xfId="0" applyFont="1" applyFill="1" applyBorder="1" applyAlignment="1">
      <alignment horizontal="center" vertical="top"/>
    </xf>
    <xf numFmtId="0" fontId="7" fillId="0" borderId="1" xfId="0" applyNumberFormat="1" applyFont="1" applyFill="1" applyBorder="1" applyAlignment="1">
      <alignment horizontal="left" vertical="top" wrapText="1"/>
    </xf>
    <xf numFmtId="49" fontId="14" fillId="0" borderId="0" xfId="0" applyNumberFormat="1" applyFont="1" applyFill="1"/>
    <xf numFmtId="0" fontId="7" fillId="0" borderId="12" xfId="0" applyFont="1" applyFill="1" applyBorder="1" applyAlignment="1">
      <alignment vertical="top" wrapText="1"/>
    </xf>
    <xf numFmtId="0" fontId="7" fillId="0" borderId="11" xfId="0" applyFont="1" applyFill="1" applyBorder="1" applyAlignment="1">
      <alignment horizontal="left" vertical="top" wrapText="1"/>
    </xf>
    <xf numFmtId="49" fontId="24" fillId="0" borderId="0" xfId="0" applyNumberFormat="1" applyFont="1" applyFill="1"/>
    <xf numFmtId="0" fontId="24" fillId="0" borderId="0" xfId="0" applyFont="1" applyFill="1"/>
    <xf numFmtId="4" fontId="3" fillId="0" borderId="1" xfId="0" applyNumberFormat="1" applyFont="1" applyFill="1" applyBorder="1" applyAlignment="1">
      <alignment vertical="top"/>
    </xf>
    <xf numFmtId="4" fontId="3" fillId="0" borderId="0" xfId="0" applyNumberFormat="1" applyFont="1" applyFill="1" applyBorder="1" applyAlignment="1">
      <alignment vertical="top"/>
    </xf>
    <xf numFmtId="165" fontId="2" fillId="3" borderId="1" xfId="0" applyNumberFormat="1" applyFont="1" applyFill="1" applyBorder="1"/>
    <xf numFmtId="165" fontId="0" fillId="0" borderId="1" xfId="0" applyNumberFormat="1" applyFont="1" applyFill="1" applyBorder="1"/>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49" fontId="7" fillId="0" borderId="5"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2" fontId="7" fillId="0" borderId="0" xfId="0" applyNumberFormat="1" applyFont="1" applyFill="1" applyAlignment="1">
      <alignment horizontal="left" wrapText="1"/>
    </xf>
    <xf numFmtId="0" fontId="7" fillId="0" borderId="0" xfId="0" applyFont="1" applyFill="1" applyAlignment="1">
      <alignment wrapText="1"/>
    </xf>
    <xf numFmtId="4" fontId="7" fillId="0" borderId="0" xfId="0" applyNumberFormat="1" applyFont="1" applyFill="1"/>
    <xf numFmtId="0" fontId="10" fillId="0" borderId="0" xfId="0" applyFont="1" applyFill="1" applyAlignment="1">
      <alignment horizontal="left"/>
    </xf>
    <xf numFmtId="0" fontId="28" fillId="0" borderId="0" xfId="0" applyFont="1" applyAlignment="1">
      <alignment horizontal="left"/>
    </xf>
    <xf numFmtId="4" fontId="3" fillId="0" borderId="0" xfId="0" applyNumberFormat="1" applyFont="1" applyFill="1"/>
    <xf numFmtId="0" fontId="3" fillId="0" borderId="0" xfId="0" applyFont="1" applyAlignment="1">
      <alignment horizontal="justify"/>
    </xf>
    <xf numFmtId="4" fontId="3" fillId="0" borderId="0" xfId="0" applyNumberFormat="1" applyFont="1" applyFill="1" applyAlignment="1">
      <alignment wrapText="1"/>
    </xf>
    <xf numFmtId="0" fontId="12" fillId="0" borderId="0" xfId="0" applyFont="1" applyAlignment="1">
      <alignment horizontal="justify"/>
    </xf>
    <xf numFmtId="0" fontId="12" fillId="0" borderId="0" xfId="0" applyFont="1" applyAlignment="1"/>
    <xf numFmtId="2" fontId="12" fillId="0" borderId="0" xfId="0" applyNumberFormat="1" applyFont="1" applyAlignment="1">
      <alignment wrapText="1"/>
    </xf>
    <xf numFmtId="0" fontId="12" fillId="0" borderId="0" xfId="0" applyFont="1" applyAlignment="1">
      <alignment wrapText="1"/>
    </xf>
    <xf numFmtId="2" fontId="3" fillId="0" borderId="0" xfId="0" applyNumberFormat="1" applyFont="1" applyAlignment="1">
      <alignment wrapText="1"/>
    </xf>
    <xf numFmtId="2" fontId="3" fillId="0" borderId="0" xfId="0" applyNumberFormat="1" applyFont="1" applyFill="1" applyAlignment="1">
      <alignment wrapText="1"/>
    </xf>
    <xf numFmtId="0" fontId="3" fillId="0" borderId="0" xfId="0" applyFont="1" applyAlignment="1">
      <alignment wrapText="1"/>
    </xf>
    <xf numFmtId="0" fontId="3" fillId="0" borderId="0" xfId="4" applyFont="1"/>
    <xf numFmtId="0" fontId="3" fillId="0" borderId="1" xfId="4" applyFont="1" applyBorder="1" applyAlignment="1">
      <alignment horizontal="left" vertical="top" wrapText="1"/>
    </xf>
    <xf numFmtId="0" fontId="3" fillId="0" borderId="1" xfId="4" applyFont="1" applyBorder="1" applyAlignment="1">
      <alignment horizontal="left" vertical="top"/>
    </xf>
    <xf numFmtId="14" fontId="3" fillId="0" borderId="1" xfId="4" applyNumberFormat="1" applyFont="1" applyBorder="1" applyAlignment="1">
      <alignment horizontal="left" vertical="top"/>
    </xf>
    <xf numFmtId="0" fontId="3" fillId="0" borderId="1" xfId="4" applyFont="1" applyBorder="1" applyAlignment="1">
      <alignment horizontal="center" vertical="top"/>
    </xf>
    <xf numFmtId="0" fontId="3" fillId="0" borderId="1" xfId="4" applyFont="1" applyBorder="1" applyAlignment="1">
      <alignment horizontal="center" vertical="top" wrapText="1"/>
    </xf>
    <xf numFmtId="0" fontId="3" fillId="0" borderId="0" xfId="4" applyFont="1" applyAlignment="1">
      <alignment horizontal="justify"/>
    </xf>
    <xf numFmtId="0" fontId="3" fillId="0" borderId="0" xfId="4" applyFont="1" applyAlignment="1"/>
    <xf numFmtId="0" fontId="3" fillId="0" borderId="0" xfId="4" applyFont="1" applyAlignment="1">
      <alignment wrapText="1"/>
    </xf>
    <xf numFmtId="2" fontId="3" fillId="0" borderId="0" xfId="4" applyNumberFormat="1" applyFont="1" applyAlignment="1">
      <alignment wrapText="1"/>
    </xf>
    <xf numFmtId="0" fontId="3" fillId="0" borderId="0" xfId="4" applyFont="1" applyAlignment="1">
      <alignment horizontal="right"/>
    </xf>
    <xf numFmtId="0" fontId="28" fillId="0" borderId="0" xfId="4" applyFont="1" applyAlignment="1">
      <alignment horizontal="left"/>
    </xf>
    <xf numFmtId="49" fontId="1" fillId="0" borderId="1" xfId="0" applyNumberFormat="1" applyFont="1" applyFill="1" applyBorder="1" applyAlignment="1">
      <alignment horizontal="center" vertical="top"/>
    </xf>
    <xf numFmtId="0" fontId="25" fillId="0" borderId="1" xfId="0" applyFont="1" applyFill="1" applyBorder="1" applyAlignment="1">
      <alignment horizontal="center" vertical="top"/>
    </xf>
    <xf numFmtId="49" fontId="25"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top" wrapText="1"/>
    </xf>
    <xf numFmtId="0" fontId="26" fillId="0" borderId="0" xfId="0" applyFont="1" applyFill="1"/>
    <xf numFmtId="1" fontId="6" fillId="0" borderId="10" xfId="6" applyNumberFormat="1" applyFont="1" applyFill="1" applyProtection="1">
      <alignment horizontal="center" vertical="top" shrinkToFit="1"/>
    </xf>
    <xf numFmtId="0" fontId="24" fillId="0" borderId="1" xfId="0" applyFont="1" applyFill="1" applyBorder="1" applyAlignment="1">
      <alignment horizontal="left" vertical="top" wrapText="1"/>
    </xf>
    <xf numFmtId="49" fontId="24" fillId="0" borderId="1" xfId="0" applyNumberFormat="1" applyFont="1" applyFill="1" applyBorder="1" applyAlignment="1">
      <alignment horizontal="center" vertical="top"/>
    </xf>
    <xf numFmtId="165" fontId="34" fillId="0" borderId="1" xfId="0" applyNumberFormat="1" applyFont="1" applyFill="1" applyBorder="1" applyAlignment="1">
      <alignment vertical="top"/>
    </xf>
    <xf numFmtId="165" fontId="26" fillId="0" borderId="0" xfId="0" applyNumberFormat="1" applyFont="1" applyFill="1"/>
    <xf numFmtId="165" fontId="7" fillId="0" borderId="0" xfId="0" applyNumberFormat="1" applyFont="1" applyFill="1"/>
    <xf numFmtId="4" fontId="34" fillId="0" borderId="1" xfId="0" applyNumberFormat="1" applyFont="1" applyFill="1" applyBorder="1" applyAlignment="1">
      <alignment horizontal="center" vertical="top" wrapText="1"/>
    </xf>
    <xf numFmtId="164" fontId="3" fillId="0" borderId="0" xfId="0" applyNumberFormat="1" applyFont="1"/>
    <xf numFmtId="164" fontId="3" fillId="0" borderId="0" xfId="0" applyNumberFormat="1" applyFont="1" applyFill="1"/>
    <xf numFmtId="164" fontId="2" fillId="0" borderId="1" xfId="0" applyNumberFormat="1" applyFont="1" applyFill="1" applyBorder="1"/>
    <xf numFmtId="164" fontId="0" fillId="0" borderId="0" xfId="0" applyNumberFormat="1" applyFill="1"/>
    <xf numFmtId="165" fontId="7" fillId="0" borderId="0" xfId="0" applyNumberFormat="1" applyFont="1" applyFill="1" applyAlignment="1">
      <alignment horizontal="right"/>
    </xf>
    <xf numFmtId="4" fontId="3" fillId="0" borderId="0" xfId="0" applyNumberFormat="1" applyFont="1" applyFill="1" applyAlignment="1">
      <alignment horizontal="right"/>
    </xf>
    <xf numFmtId="164" fontId="12" fillId="0" borderId="0" xfId="0" applyNumberFormat="1" applyFont="1"/>
    <xf numFmtId="164" fontId="28" fillId="0" borderId="0" xfId="0" applyNumberFormat="1" applyFont="1" applyAlignment="1">
      <alignment horizontal="left"/>
    </xf>
    <xf numFmtId="164" fontId="12" fillId="0" borderId="0" xfId="0" applyNumberFormat="1" applyFont="1" applyAlignment="1">
      <alignment horizontal="right"/>
    </xf>
    <xf numFmtId="164" fontId="24" fillId="0" borderId="1" xfId="0" applyNumberFormat="1" applyFont="1" applyFill="1" applyBorder="1" applyAlignment="1">
      <alignment horizontal="center" vertical="top" wrapText="1"/>
    </xf>
    <xf numFmtId="164" fontId="7" fillId="0" borderId="1" xfId="0" applyNumberFormat="1" applyFont="1" applyFill="1" applyBorder="1"/>
    <xf numFmtId="164" fontId="7" fillId="0" borderId="0" xfId="0" applyNumberFormat="1" applyFont="1" applyFill="1"/>
    <xf numFmtId="164" fontId="14" fillId="0" borderId="0" xfId="0" applyNumberFormat="1" applyFont="1" applyFill="1"/>
    <xf numFmtId="3" fontId="12" fillId="0" borderId="0" xfId="0" applyNumberFormat="1" applyFont="1" applyAlignment="1">
      <alignment horizontal="center"/>
    </xf>
    <xf numFmtId="3" fontId="24" fillId="0" borderId="1" xfId="0" applyNumberFormat="1" applyFont="1" applyFill="1" applyBorder="1" applyAlignment="1">
      <alignment horizontal="center" vertical="top" wrapText="1"/>
    </xf>
    <xf numFmtId="3" fontId="7" fillId="0" borderId="1" xfId="0" applyNumberFormat="1" applyFont="1" applyFill="1" applyBorder="1" applyAlignment="1">
      <alignment horizontal="center" vertical="top" wrapText="1"/>
    </xf>
    <xf numFmtId="3" fontId="7" fillId="0" borderId="0" xfId="0" applyNumberFormat="1" applyFont="1" applyFill="1" applyAlignment="1">
      <alignment horizontal="center"/>
    </xf>
    <xf numFmtId="3" fontId="14" fillId="0" borderId="0" xfId="0" applyNumberFormat="1" applyFont="1" applyFill="1" applyAlignment="1">
      <alignment horizontal="center"/>
    </xf>
    <xf numFmtId="165" fontId="12" fillId="3" borderId="0" xfId="0" applyNumberFormat="1" applyFont="1" applyFill="1" applyAlignment="1">
      <alignment horizontal="right"/>
    </xf>
    <xf numFmtId="0" fontId="12" fillId="3" borderId="0" xfId="0" applyFont="1" applyFill="1"/>
    <xf numFmtId="165" fontId="24" fillId="3" borderId="1" xfId="0" applyNumberFormat="1" applyFont="1" applyFill="1" applyBorder="1" applyAlignment="1">
      <alignment horizontal="center" vertical="top" wrapText="1"/>
    </xf>
    <xf numFmtId="0" fontId="7" fillId="3" borderId="1" xfId="0" applyFont="1" applyFill="1" applyBorder="1"/>
    <xf numFmtId="0" fontId="7" fillId="3" borderId="0" xfId="0" applyFont="1" applyFill="1"/>
    <xf numFmtId="0" fontId="14" fillId="3" borderId="0" xfId="0" applyFont="1" applyFill="1"/>
    <xf numFmtId="0" fontId="10" fillId="0" borderId="1" xfId="0" applyFont="1" applyFill="1" applyBorder="1" applyAlignment="1">
      <alignment horizontal="center" vertical="top" wrapText="1"/>
    </xf>
    <xf numFmtId="0" fontId="3" fillId="0" borderId="0" xfId="4" applyFont="1" applyAlignment="1"/>
    <xf numFmtId="0" fontId="3" fillId="0" borderId="1" xfId="4" applyFont="1" applyBorder="1" applyAlignment="1">
      <alignment horizontal="left" vertical="top" wrapText="1"/>
    </xf>
    <xf numFmtId="164" fontId="12" fillId="3" borderId="0" xfId="0" applyNumberFormat="1" applyFont="1" applyFill="1"/>
    <xf numFmtId="164" fontId="24" fillId="3" borderId="1" xfId="0" applyNumberFormat="1" applyFont="1" applyFill="1" applyBorder="1" applyAlignment="1">
      <alignment horizontal="center" vertical="top" wrapText="1"/>
    </xf>
    <xf numFmtId="164" fontId="7" fillId="3" borderId="0" xfId="0" applyNumberFormat="1" applyFont="1" applyFill="1"/>
    <xf numFmtId="164" fontId="14" fillId="3" borderId="0" xfId="0" applyNumberFormat="1" applyFont="1" applyFill="1"/>
    <xf numFmtId="164" fontId="12" fillId="3" borderId="0" xfId="0" applyNumberFormat="1" applyFont="1" applyFill="1" applyAlignment="1">
      <alignment horizontal="right"/>
    </xf>
    <xf numFmtId="164" fontId="7" fillId="3" borderId="1" xfId="0" applyNumberFormat="1" applyFont="1" applyFill="1" applyBorder="1"/>
    <xf numFmtId="3" fontId="12" fillId="3" borderId="0" xfId="0" applyNumberFormat="1" applyFont="1" applyFill="1" applyAlignment="1">
      <alignment horizontal="center"/>
    </xf>
    <xf numFmtId="3" fontId="24" fillId="3" borderId="1" xfId="0" applyNumberFormat="1" applyFont="1" applyFill="1" applyBorder="1" applyAlignment="1">
      <alignment horizontal="center" vertical="top" wrapText="1"/>
    </xf>
    <xf numFmtId="3" fontId="7" fillId="3" borderId="1" xfId="0" applyNumberFormat="1" applyFont="1" applyFill="1" applyBorder="1" applyAlignment="1">
      <alignment horizontal="center" vertical="top" wrapText="1"/>
    </xf>
    <xf numFmtId="3" fontId="7" fillId="3" borderId="0" xfId="0" applyNumberFormat="1" applyFont="1" applyFill="1" applyAlignment="1">
      <alignment horizontal="center"/>
    </xf>
    <xf numFmtId="3" fontId="14" fillId="3" borderId="0" xfId="0" applyNumberFormat="1" applyFont="1" applyFill="1" applyAlignment="1">
      <alignment horizontal="center"/>
    </xf>
    <xf numFmtId="0" fontId="37" fillId="0" borderId="0" xfId="0" applyFont="1"/>
    <xf numFmtId="0" fontId="24" fillId="0" borderId="2" xfId="0" applyFont="1" applyFill="1" applyBorder="1" applyAlignment="1">
      <alignment vertical="top" wrapText="1"/>
    </xf>
    <xf numFmtId="0" fontId="24" fillId="0" borderId="3" xfId="0" applyFont="1" applyFill="1" applyBorder="1" applyAlignment="1">
      <alignment vertical="top" wrapText="1"/>
    </xf>
    <xf numFmtId="0" fontId="24" fillId="2" borderId="1" xfId="0" applyFont="1" applyFill="1" applyBorder="1" applyAlignment="1">
      <alignment horizontal="center" vertical="top" wrapText="1"/>
    </xf>
    <xf numFmtId="0" fontId="24" fillId="2" borderId="2" xfId="0" applyFont="1" applyFill="1" applyBorder="1" applyAlignment="1">
      <alignment horizontal="center" vertical="top" wrapText="1"/>
    </xf>
    <xf numFmtId="49" fontId="24"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center" vertical="top"/>
    </xf>
    <xf numFmtId="0" fontId="3" fillId="0" borderId="1" xfId="0" applyFont="1" applyFill="1" applyBorder="1" applyAlignment="1">
      <alignment horizontal="justify" vertical="top"/>
    </xf>
    <xf numFmtId="4" fontId="10" fillId="0" borderId="1" xfId="0" applyNumberFormat="1" applyFont="1" applyFill="1" applyBorder="1" applyAlignment="1">
      <alignment horizontal="center" vertical="top"/>
    </xf>
    <xf numFmtId="0" fontId="21" fillId="0" borderId="1" xfId="0" applyFont="1" applyFill="1" applyBorder="1"/>
    <xf numFmtId="0" fontId="3" fillId="0" borderId="0" xfId="0" applyFont="1" applyFill="1" applyAlignment="1">
      <alignment horizontal="right"/>
    </xf>
    <xf numFmtId="4" fontId="3" fillId="0" borderId="0" xfId="0" applyNumberFormat="1" applyFont="1" applyFill="1" applyAlignment="1">
      <alignment horizontal="center" vertical="top" wrapText="1"/>
    </xf>
    <xf numFmtId="4" fontId="10" fillId="0" borderId="1" xfId="0" applyNumberFormat="1" applyFont="1" applyFill="1" applyBorder="1" applyAlignment="1">
      <alignment horizontal="center" vertical="top" wrapText="1"/>
    </xf>
    <xf numFmtId="4" fontId="10" fillId="0" borderId="0" xfId="0" applyNumberFormat="1" applyFont="1" applyFill="1" applyAlignment="1">
      <alignment horizontal="center" vertical="top" wrapText="1"/>
    </xf>
    <xf numFmtId="165" fontId="7" fillId="0" borderId="1" xfId="0" applyNumberFormat="1" applyFont="1" applyFill="1" applyBorder="1" applyAlignment="1">
      <alignment vertical="top" wrapText="1"/>
    </xf>
    <xf numFmtId="165" fontId="7" fillId="3" borderId="1" xfId="0" applyNumberFormat="1" applyFont="1" applyFill="1" applyBorder="1" applyAlignment="1">
      <alignment horizontal="center" vertical="top" wrapText="1"/>
    </xf>
    <xf numFmtId="165" fontId="7" fillId="3" borderId="1" xfId="0" applyNumberFormat="1" applyFont="1" applyFill="1" applyBorder="1" applyAlignment="1">
      <alignment vertical="top" wrapText="1"/>
    </xf>
    <xf numFmtId="4" fontId="24" fillId="0" borderId="1" xfId="0" applyNumberFormat="1" applyFont="1" applyFill="1" applyBorder="1" applyAlignment="1">
      <alignment horizontal="center" vertical="top"/>
    </xf>
    <xf numFmtId="4" fontId="24" fillId="0" borderId="1" xfId="0" applyNumberFormat="1" applyFont="1" applyFill="1" applyBorder="1" applyAlignment="1">
      <alignment horizontal="center" vertical="top" wrapText="1"/>
    </xf>
    <xf numFmtId="4" fontId="24" fillId="0" borderId="1" xfId="0" applyNumberFormat="1" applyFont="1" applyFill="1" applyBorder="1" applyAlignment="1">
      <alignment horizontal="left" vertical="top" wrapText="1"/>
    </xf>
    <xf numFmtId="4" fontId="24" fillId="0" borderId="0" xfId="0" applyNumberFormat="1" applyFont="1" applyFill="1"/>
    <xf numFmtId="165" fontId="7" fillId="0" borderId="1"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165" fontId="25" fillId="0" borderId="1" xfId="0" applyNumberFormat="1" applyFont="1" applyFill="1" applyBorder="1" applyAlignment="1">
      <alignment horizontal="center" vertical="top" wrapText="1"/>
    </xf>
    <xf numFmtId="0" fontId="25"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top"/>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7" fillId="0" borderId="5" xfId="0" applyNumberFormat="1" applyFont="1" applyFill="1" applyBorder="1" applyAlignment="1">
      <alignment horizontal="center" vertical="top"/>
    </xf>
    <xf numFmtId="49" fontId="7" fillId="0" borderId="6" xfId="0" applyNumberFormat="1" applyFont="1" applyFill="1" applyBorder="1" applyAlignment="1">
      <alignment horizontal="center" vertical="top"/>
    </xf>
    <xf numFmtId="0" fontId="3" fillId="0" borderId="5" xfId="0" applyFont="1" applyFill="1" applyBorder="1" applyAlignment="1">
      <alignment horizontal="left" vertical="top" wrapText="1"/>
    </xf>
    <xf numFmtId="49" fontId="3" fillId="0" borderId="5" xfId="0" applyNumberFormat="1" applyFont="1" applyFill="1" applyBorder="1" applyAlignment="1">
      <alignment horizontal="center" vertical="center"/>
    </xf>
    <xf numFmtId="0" fontId="7" fillId="0" borderId="5" xfId="0" applyFont="1" applyFill="1" applyBorder="1" applyAlignment="1">
      <alignment horizontal="left" vertical="top" wrapText="1"/>
    </xf>
    <xf numFmtId="0" fontId="3" fillId="0" borderId="6" xfId="0" applyFont="1" applyFill="1" applyBorder="1" applyAlignment="1">
      <alignment horizontal="center" vertical="top" wrapText="1"/>
    </xf>
    <xf numFmtId="49" fontId="3" fillId="0" borderId="5" xfId="0" applyNumberFormat="1" applyFont="1" applyFill="1" applyBorder="1" applyAlignment="1">
      <alignment horizontal="left" vertical="top"/>
    </xf>
    <xf numFmtId="0" fontId="3" fillId="0" borderId="5" xfId="0" applyNumberFormat="1" applyFont="1" applyFill="1" applyBorder="1" applyAlignment="1">
      <alignment horizontal="left" vertical="top" wrapText="1"/>
    </xf>
    <xf numFmtId="0" fontId="7" fillId="0" borderId="6" xfId="0"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1" xfId="0" applyFont="1" applyFill="1" applyBorder="1" applyAlignment="1">
      <alignment horizontal="left" vertical="top" wrapText="1"/>
    </xf>
    <xf numFmtId="49" fontId="10" fillId="0" borderId="5" xfId="0" applyNumberFormat="1" applyFont="1" applyFill="1" applyBorder="1" applyAlignment="1">
      <alignment horizontal="center" vertical="top"/>
    </xf>
    <xf numFmtId="0" fontId="10" fillId="0" borderId="5" xfId="0" applyFont="1" applyFill="1" applyBorder="1" applyAlignment="1">
      <alignment horizontal="center" vertical="top"/>
    </xf>
    <xf numFmtId="0" fontId="10" fillId="0" borderId="5" xfId="0" applyFont="1" applyFill="1" applyBorder="1" applyAlignment="1">
      <alignment horizontal="justify" vertical="top"/>
    </xf>
    <xf numFmtId="0" fontId="10" fillId="0" borderId="5" xfId="0" applyFont="1" applyFill="1" applyBorder="1" applyAlignment="1">
      <alignment horizontal="center" vertical="top" wrapText="1"/>
    </xf>
    <xf numFmtId="164" fontId="10" fillId="0" borderId="5" xfId="0" applyNumberFormat="1" applyFont="1" applyFill="1" applyBorder="1" applyAlignment="1">
      <alignment horizontal="center" vertical="top"/>
    </xf>
    <xf numFmtId="164" fontId="10" fillId="0" borderId="5" xfId="0" applyNumberFormat="1" applyFont="1" applyFill="1" applyBorder="1" applyAlignment="1">
      <alignment horizontal="center" vertical="top" wrapText="1"/>
    </xf>
    <xf numFmtId="0" fontId="12" fillId="0" borderId="1" xfId="0" applyFont="1" applyFill="1" applyBorder="1" applyAlignment="1">
      <alignment vertical="top" wrapText="1"/>
    </xf>
    <xf numFmtId="0" fontId="12" fillId="0" borderId="1" xfId="0" applyFont="1" applyFill="1" applyBorder="1" applyAlignment="1">
      <alignment horizontal="center" vertical="top" wrapText="1"/>
    </xf>
    <xf numFmtId="0" fontId="10" fillId="0" borderId="1" xfId="0" applyFont="1" applyFill="1" applyBorder="1"/>
    <xf numFmtId="0" fontId="21" fillId="0" borderId="1" xfId="0" applyFont="1" applyFill="1" applyBorder="1" applyAlignment="1">
      <alignment horizontal="center" vertical="center"/>
    </xf>
    <xf numFmtId="4" fontId="12" fillId="0" borderId="0" xfId="0" applyNumberFormat="1" applyFont="1" applyFill="1" applyAlignment="1">
      <alignment vertical="top" wrapText="1"/>
    </xf>
    <xf numFmtId="49" fontId="9" fillId="0" borderId="1" xfId="0" applyNumberFormat="1" applyFont="1" applyFill="1" applyBorder="1" applyAlignment="1">
      <alignment horizontal="center" vertical="top" wrapText="1"/>
    </xf>
    <xf numFmtId="1" fontId="33" fillId="0" borderId="10" xfId="6" applyNumberFormat="1" applyFont="1" applyFill="1" applyProtection="1">
      <alignment horizontal="center" vertical="top" shrinkToFit="1"/>
    </xf>
    <xf numFmtId="0" fontId="6" fillId="0" borderId="10" xfId="7" applyNumberFormat="1" applyFont="1" applyFill="1" applyAlignment="1" applyProtection="1">
      <alignment vertical="top" wrapText="1"/>
    </xf>
    <xf numFmtId="0" fontId="6" fillId="0" borderId="10" xfId="7" applyNumberFormat="1" applyFont="1" applyFill="1" applyAlignment="1" applyProtection="1">
      <alignment horizontal="left" vertical="top" wrapText="1"/>
    </xf>
    <xf numFmtId="0" fontId="6" fillId="0" borderId="10" xfId="7" applyNumberFormat="1" applyFont="1" applyFill="1" applyProtection="1">
      <alignment vertical="top" wrapText="1"/>
    </xf>
    <xf numFmtId="0" fontId="7" fillId="0" borderId="0" xfId="0" applyFont="1" applyFill="1" applyAlignment="1">
      <alignment horizontal="left" vertical="top"/>
    </xf>
    <xf numFmtId="0" fontId="28" fillId="0" borderId="0" xfId="0" applyFont="1" applyFill="1" applyAlignment="1">
      <alignment horizontal="left"/>
    </xf>
    <xf numFmtId="0" fontId="7" fillId="0" borderId="0" xfId="0" applyFont="1" applyFill="1" applyAlignment="1">
      <alignment vertical="top"/>
    </xf>
    <xf numFmtId="0" fontId="7" fillId="0" borderId="0" xfId="0" applyFont="1" applyFill="1" applyAlignment="1">
      <alignment horizontal="justify"/>
    </xf>
    <xf numFmtId="0" fontId="7" fillId="0" borderId="0" xfId="0" applyFont="1" applyFill="1" applyAlignment="1">
      <alignment horizontal="right" wrapText="1"/>
    </xf>
    <xf numFmtId="2" fontId="7" fillId="0" borderId="0" xfId="0" applyNumberFormat="1" applyFont="1" applyFill="1" applyAlignment="1">
      <alignment wrapText="1"/>
    </xf>
    <xf numFmtId="0" fontId="7"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38" fillId="0" borderId="1" xfId="0" applyFont="1" applyFill="1" applyBorder="1" applyAlignment="1">
      <alignment horizontal="left" vertical="top" wrapText="1"/>
    </xf>
    <xf numFmtId="165" fontId="42" fillId="0" borderId="11" xfId="0" applyNumberFormat="1" applyFont="1" applyFill="1" applyBorder="1" applyAlignment="1">
      <alignment vertical="top"/>
    </xf>
    <xf numFmtId="165" fontId="2" fillId="0" borderId="0" xfId="0" applyNumberFormat="1" applyFont="1" applyFill="1" applyAlignment="1">
      <alignment horizontal="left" vertical="top" wrapText="1"/>
    </xf>
    <xf numFmtId="0" fontId="1" fillId="0" borderId="0" xfId="0" applyFont="1" applyFill="1" applyAlignment="1">
      <alignment horizontal="left" vertical="top" wrapText="1"/>
    </xf>
    <xf numFmtId="49" fontId="43" fillId="0" borderId="5" xfId="0" applyNumberFormat="1" applyFont="1" applyFill="1" applyBorder="1" applyAlignment="1">
      <alignment horizontal="center" vertical="top"/>
    </xf>
    <xf numFmtId="49" fontId="42" fillId="0" borderId="1" xfId="0" applyNumberFormat="1" applyFont="1" applyFill="1" applyBorder="1" applyAlignment="1">
      <alignment horizontal="center" vertical="top"/>
    </xf>
    <xf numFmtId="49" fontId="43" fillId="0" borderId="1" xfId="0" applyNumberFormat="1" applyFont="1" applyFill="1" applyBorder="1" applyAlignment="1">
      <alignment horizontal="center" vertical="top"/>
    </xf>
    <xf numFmtId="0" fontId="44" fillId="0" borderId="1" xfId="0" applyFont="1" applyFill="1" applyBorder="1" applyAlignment="1">
      <alignment horizontal="left" vertical="top" wrapText="1"/>
    </xf>
    <xf numFmtId="0" fontId="41" fillId="0" borderId="1" xfId="0" applyFont="1" applyFill="1" applyBorder="1" applyAlignment="1">
      <alignment horizontal="center" vertical="top" wrapText="1"/>
    </xf>
    <xf numFmtId="0" fontId="41" fillId="0" borderId="5" xfId="0" applyFont="1" applyFill="1" applyBorder="1" applyAlignment="1">
      <alignment horizontal="left" vertical="top" wrapText="1"/>
    </xf>
    <xf numFmtId="0" fontId="41" fillId="0" borderId="1" xfId="0" applyFont="1" applyFill="1" applyBorder="1" applyAlignment="1">
      <alignment horizontal="left" vertical="top" wrapText="1"/>
    </xf>
    <xf numFmtId="165" fontId="40" fillId="0" borderId="11" xfId="0" applyNumberFormat="1" applyFont="1" applyFill="1" applyBorder="1" applyAlignment="1">
      <alignment horizontal="right" vertical="top" wrapText="1"/>
    </xf>
    <xf numFmtId="165" fontId="1" fillId="0" borderId="0" xfId="0" applyNumberFormat="1" applyFont="1" applyFill="1" applyAlignment="1">
      <alignment horizontal="left" vertical="top" wrapText="1"/>
    </xf>
    <xf numFmtId="0" fontId="43" fillId="0" borderId="1" xfId="0" applyFont="1" applyFill="1" applyBorder="1" applyAlignment="1">
      <alignment horizontal="center" vertical="top"/>
    </xf>
    <xf numFmtId="0" fontId="43" fillId="0" borderId="1" xfId="0" applyFont="1" applyFill="1" applyBorder="1" applyAlignment="1">
      <alignment horizontal="center" vertical="top" wrapText="1"/>
    </xf>
    <xf numFmtId="49" fontId="43" fillId="0" borderId="1" xfId="0" applyNumberFormat="1" applyFont="1" applyFill="1" applyBorder="1" applyAlignment="1">
      <alignment horizontal="center" vertical="top" wrapText="1"/>
    </xf>
    <xf numFmtId="0" fontId="42" fillId="0" borderId="0" xfId="0" applyFont="1" applyFill="1" applyAlignment="1">
      <alignment horizontal="left" vertical="top" wrapText="1"/>
    </xf>
    <xf numFmtId="0" fontId="42" fillId="0" borderId="1" xfId="0" applyFont="1" applyFill="1" applyBorder="1" applyAlignment="1">
      <alignment vertical="top" wrapText="1"/>
    </xf>
    <xf numFmtId="49" fontId="45" fillId="0" borderId="1" xfId="0" applyNumberFormat="1" applyFont="1" applyFill="1" applyBorder="1" applyAlignment="1">
      <alignment horizontal="center" vertical="center"/>
    </xf>
    <xf numFmtId="0" fontId="46" fillId="0" borderId="1" xfId="0" applyFont="1" applyFill="1" applyBorder="1" applyAlignment="1">
      <alignment horizontal="left" vertical="top" wrapText="1"/>
    </xf>
    <xf numFmtId="0" fontId="47" fillId="0" borderId="1" xfId="0" applyFont="1" applyFill="1" applyBorder="1" applyAlignment="1">
      <alignment horizontal="left" vertical="top" wrapText="1"/>
    </xf>
    <xf numFmtId="0" fontId="45" fillId="0" borderId="0" xfId="0" applyFont="1" applyFill="1" applyAlignment="1">
      <alignment horizontal="left" vertical="top" wrapText="1"/>
    </xf>
    <xf numFmtId="165" fontId="40" fillId="0" borderId="11" xfId="0" applyNumberFormat="1" applyFont="1" applyFill="1" applyBorder="1" applyAlignment="1">
      <alignment vertical="top"/>
    </xf>
    <xf numFmtId="165" fontId="40" fillId="0" borderId="0" xfId="0" applyNumberFormat="1" applyFont="1" applyFill="1" applyBorder="1" applyAlignment="1">
      <alignment vertical="top"/>
    </xf>
    <xf numFmtId="0" fontId="42" fillId="0" borderId="1" xfId="0" applyFont="1" applyFill="1" applyBorder="1" applyAlignment="1">
      <alignment horizontal="center" vertical="top" wrapText="1"/>
    </xf>
    <xf numFmtId="0" fontId="42" fillId="0" borderId="1" xfId="0" applyNumberFormat="1" applyFont="1" applyFill="1" applyBorder="1" applyAlignment="1">
      <alignment horizontal="left" vertical="top" wrapText="1"/>
    </xf>
    <xf numFmtId="0" fontId="43" fillId="0" borderId="1" xfId="0" applyFont="1" applyFill="1" applyBorder="1" applyAlignment="1">
      <alignment vertical="top" wrapText="1"/>
    </xf>
    <xf numFmtId="49" fontId="7" fillId="0" borderId="4" xfId="0" applyNumberFormat="1" applyFont="1" applyFill="1" applyBorder="1" applyAlignment="1">
      <alignment vertical="top" wrapText="1"/>
    </xf>
    <xf numFmtId="49" fontId="45" fillId="0" borderId="1" xfId="0" applyNumberFormat="1" applyFont="1" applyFill="1" applyBorder="1" applyAlignment="1">
      <alignment horizontal="center" vertical="top"/>
    </xf>
    <xf numFmtId="0" fontId="47" fillId="0" borderId="1" xfId="0" applyFont="1" applyFill="1" applyBorder="1" applyAlignment="1">
      <alignment horizontal="center" vertical="top"/>
    </xf>
    <xf numFmtId="49" fontId="47" fillId="0" borderId="1" xfId="0" applyNumberFormat="1" applyFont="1" applyFill="1" applyBorder="1" applyAlignment="1">
      <alignment horizontal="center" vertical="top"/>
    </xf>
    <xf numFmtId="0" fontId="49" fillId="0" borderId="0" xfId="0" applyFont="1" applyFill="1" applyAlignment="1">
      <alignment horizontal="left" vertical="top" wrapText="1"/>
    </xf>
    <xf numFmtId="0" fontId="47" fillId="0" borderId="1" xfId="0" applyFont="1" applyFill="1" applyBorder="1" applyAlignment="1">
      <alignment vertical="top" wrapText="1"/>
    </xf>
    <xf numFmtId="49" fontId="47" fillId="0" borderId="1" xfId="0" applyNumberFormat="1" applyFont="1" applyFill="1" applyBorder="1" applyAlignment="1">
      <alignment vertical="top" wrapText="1"/>
    </xf>
    <xf numFmtId="0" fontId="41" fillId="0" borderId="1" xfId="0" applyFont="1" applyFill="1" applyBorder="1" applyAlignment="1">
      <alignment horizontal="center" vertical="top"/>
    </xf>
    <xf numFmtId="49" fontId="40" fillId="0" borderId="1" xfId="0" applyNumberFormat="1" applyFont="1" applyFill="1" applyBorder="1" applyAlignment="1">
      <alignment horizontal="center" vertical="top"/>
    </xf>
    <xf numFmtId="0" fontId="39" fillId="0" borderId="1" xfId="0" applyFont="1" applyFill="1" applyBorder="1" applyAlignment="1">
      <alignment horizontal="left" vertical="top" wrapText="1"/>
    </xf>
    <xf numFmtId="0" fontId="40" fillId="0" borderId="1" xfId="0" applyFont="1" applyFill="1" applyBorder="1" applyAlignment="1">
      <alignment horizontal="left" vertical="top" wrapText="1"/>
    </xf>
    <xf numFmtId="49" fontId="43" fillId="0" borderId="4" xfId="0" applyNumberFormat="1" applyFont="1" applyFill="1" applyBorder="1" applyAlignment="1">
      <alignment horizontal="left" vertical="top" wrapText="1"/>
    </xf>
    <xf numFmtId="0" fontId="7" fillId="0" borderId="4" xfId="0" applyNumberFormat="1" applyFont="1" applyFill="1" applyBorder="1" applyAlignment="1">
      <alignment horizontal="left" vertical="top" wrapText="1"/>
    </xf>
    <xf numFmtId="0" fontId="42" fillId="0" borderId="1" xfId="0" applyFont="1" applyFill="1" applyBorder="1" applyAlignment="1">
      <alignment horizontal="justify" vertical="top" wrapText="1"/>
    </xf>
    <xf numFmtId="49" fontId="42" fillId="0" borderId="0" xfId="0" applyNumberFormat="1" applyFont="1" applyFill="1" applyBorder="1" applyAlignment="1">
      <alignment horizontal="center" vertical="top"/>
    </xf>
    <xf numFmtId="49" fontId="43" fillId="0" borderId="0" xfId="0" applyNumberFormat="1" applyFont="1" applyFill="1" applyBorder="1" applyAlignment="1">
      <alignment horizontal="center" vertical="top"/>
    </xf>
    <xf numFmtId="0" fontId="44" fillId="0" borderId="0" xfId="0" applyFont="1" applyFill="1" applyBorder="1" applyAlignment="1">
      <alignment horizontal="left" vertical="top" wrapText="1"/>
    </xf>
    <xf numFmtId="0" fontId="42"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49" fontId="10" fillId="3" borderId="1" xfId="0" applyNumberFormat="1" applyFont="1" applyFill="1" applyBorder="1" applyAlignment="1">
      <alignment horizontal="center" vertical="top"/>
    </xf>
    <xf numFmtId="0" fontId="10" fillId="3" borderId="1" xfId="0" applyFont="1" applyFill="1" applyBorder="1" applyAlignment="1">
      <alignment horizontal="justify" vertical="top" wrapText="1"/>
    </xf>
    <xf numFmtId="164" fontId="10" fillId="3" borderId="1" xfId="0" applyNumberFormat="1" applyFont="1" applyFill="1" applyBorder="1" applyAlignment="1">
      <alignment horizontal="center" vertical="top"/>
    </xf>
    <xf numFmtId="4" fontId="10" fillId="3" borderId="0" xfId="0" applyNumberFormat="1" applyFont="1" applyFill="1" applyAlignment="1">
      <alignment horizontal="center" vertical="top"/>
    </xf>
    <xf numFmtId="4" fontId="10" fillId="3" borderId="1" xfId="0" applyNumberFormat="1" applyFont="1" applyFill="1" applyBorder="1" applyAlignment="1">
      <alignment horizontal="center" vertical="top" wrapText="1"/>
    </xf>
    <xf numFmtId="0" fontId="21" fillId="3" borderId="1" xfId="0" applyFont="1" applyFill="1" applyBorder="1"/>
    <xf numFmtId="0" fontId="21" fillId="3" borderId="0" xfId="0" applyFont="1" applyFill="1"/>
    <xf numFmtId="49" fontId="3" fillId="0" borderId="0" xfId="0" applyNumberFormat="1" applyFont="1" applyFill="1" applyBorder="1" applyAlignment="1">
      <alignment horizontal="center" vertical="top"/>
    </xf>
    <xf numFmtId="0" fontId="42" fillId="0" borderId="1" xfId="0" applyFont="1" applyFill="1" applyBorder="1" applyAlignment="1">
      <alignment horizontal="left" vertical="top" wrapText="1"/>
    </xf>
    <xf numFmtId="0" fontId="43" fillId="0" borderId="1" xfId="0" applyFont="1" applyFill="1" applyBorder="1" applyAlignment="1">
      <alignment horizontal="left" vertical="top" wrapText="1"/>
    </xf>
    <xf numFmtId="49" fontId="42" fillId="0" borderId="1" xfId="0" applyNumberFormat="1" applyFont="1" applyFill="1" applyBorder="1" applyAlignment="1">
      <alignment horizontal="center" vertical="center"/>
    </xf>
    <xf numFmtId="0" fontId="44" fillId="0" borderId="5" xfId="0" applyFont="1" applyFill="1" applyBorder="1" applyAlignment="1">
      <alignment horizontal="left" vertical="top" wrapText="1"/>
    </xf>
    <xf numFmtId="0" fontId="45" fillId="0" borderId="1" xfId="0" applyFont="1" applyFill="1" applyBorder="1" applyAlignment="1">
      <alignment horizontal="left" vertical="top" wrapText="1"/>
    </xf>
    <xf numFmtId="0" fontId="42" fillId="0" borderId="5" xfId="0" applyFont="1" applyFill="1" applyBorder="1" applyAlignment="1">
      <alignment horizontal="left" vertical="top" wrapText="1"/>
    </xf>
    <xf numFmtId="0" fontId="3" fillId="0" borderId="1" xfId="4" applyFont="1" applyBorder="1" applyAlignment="1">
      <alignment horizontal="left" vertical="top" wrapText="1"/>
    </xf>
    <xf numFmtId="0" fontId="43" fillId="0" borderId="1" xfId="0" applyFont="1" applyFill="1" applyBorder="1" applyAlignment="1">
      <alignment horizontal="left" vertical="top" wrapText="1"/>
    </xf>
    <xf numFmtId="0" fontId="43" fillId="0" borderId="1" xfId="0" applyFont="1" applyFill="1" applyBorder="1" applyAlignment="1">
      <alignment horizontal="left" vertical="top" wrapText="1"/>
    </xf>
    <xf numFmtId="165" fontId="25"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7" fillId="0" borderId="5" xfId="0" applyNumberFormat="1" applyFont="1" applyFill="1" applyBorder="1" applyAlignment="1">
      <alignment horizontal="center" vertical="top"/>
    </xf>
    <xf numFmtId="49" fontId="7" fillId="0" borderId="6" xfId="0" applyNumberFormat="1" applyFont="1" applyFill="1" applyBorder="1" applyAlignment="1">
      <alignment horizontal="center" vertical="top"/>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49" fontId="34" fillId="0" borderId="5" xfId="0" applyNumberFormat="1" applyFont="1" applyFill="1" applyBorder="1" applyAlignment="1">
      <alignment horizontal="center" vertical="top"/>
    </xf>
    <xf numFmtId="49" fontId="34" fillId="0" borderId="7" xfId="0" applyNumberFormat="1" applyFont="1" applyFill="1" applyBorder="1" applyAlignment="1">
      <alignment horizontal="center" vertical="top"/>
    </xf>
    <xf numFmtId="0" fontId="3" fillId="0" borderId="5" xfId="0" applyFont="1" applyFill="1" applyBorder="1" applyAlignment="1">
      <alignment horizontal="center" vertical="top"/>
    </xf>
    <xf numFmtId="0" fontId="3"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34" fillId="0" borderId="5" xfId="0" applyFont="1" applyFill="1" applyBorder="1" applyAlignment="1">
      <alignment horizontal="left" vertical="top" wrapText="1"/>
    </xf>
    <xf numFmtId="0" fontId="34" fillId="0" borderId="7" xfId="0" applyFont="1" applyFill="1" applyBorder="1" applyAlignment="1">
      <alignment horizontal="left" vertical="top" wrapText="1"/>
    </xf>
    <xf numFmtId="0" fontId="3" fillId="0" borderId="7" xfId="0" applyFont="1" applyFill="1" applyBorder="1" applyAlignment="1">
      <alignment horizontal="left" vertical="top" wrapText="1"/>
    </xf>
    <xf numFmtId="49" fontId="3" fillId="0" borderId="5"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7" fillId="0" borderId="7" xfId="0" applyNumberFormat="1" applyFont="1" applyFill="1" applyBorder="1" applyAlignment="1">
      <alignment horizontal="center" vertical="top"/>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49" fontId="3" fillId="0" borderId="0" xfId="0" applyNumberFormat="1" applyFont="1" applyFill="1" applyBorder="1" applyAlignment="1">
      <alignment horizontal="center" vertical="top"/>
    </xf>
    <xf numFmtId="0" fontId="7" fillId="0" borderId="0" xfId="0" applyFont="1" applyFill="1" applyAlignment="1">
      <alignment horizontal="left"/>
    </xf>
    <xf numFmtId="49" fontId="3" fillId="0" borderId="1" xfId="0" applyNumberFormat="1" applyFont="1" applyFill="1" applyBorder="1" applyAlignment="1">
      <alignment horizontal="center" vertical="top"/>
    </xf>
    <xf numFmtId="0" fontId="7" fillId="0" borderId="6" xfId="0" applyFont="1" applyFill="1" applyBorder="1" applyAlignment="1">
      <alignment horizontal="center" vertical="top"/>
    </xf>
    <xf numFmtId="0" fontId="3" fillId="0" borderId="5" xfId="0" applyFont="1" applyFill="1" applyBorder="1" applyAlignment="1">
      <alignment horizontal="center" vertical="top" wrapText="1"/>
    </xf>
    <xf numFmtId="0" fontId="3" fillId="0" borderId="7" xfId="0" applyFont="1" applyFill="1" applyBorder="1" applyAlignment="1">
      <alignment horizontal="center" vertical="top" wrapText="1"/>
    </xf>
    <xf numFmtId="49" fontId="3" fillId="0" borderId="7" xfId="0" applyNumberFormat="1" applyFont="1" applyFill="1" applyBorder="1" applyAlignment="1">
      <alignment horizontal="center" vertical="top"/>
    </xf>
    <xf numFmtId="0" fontId="7" fillId="0" borderId="0" xfId="0" applyFont="1" applyFill="1" applyAlignment="1">
      <alignment horizontal="center"/>
    </xf>
    <xf numFmtId="164" fontId="34" fillId="0" borderId="1"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0" fontId="2" fillId="0" borderId="1" xfId="0" applyFont="1" applyFill="1" applyBorder="1" applyAlignment="1">
      <alignment horizontal="center" vertical="top" wrapText="1"/>
    </xf>
    <xf numFmtId="0" fontId="3" fillId="0" borderId="0" xfId="0" applyFont="1" applyFill="1" applyAlignment="1">
      <alignment horizontal="left"/>
    </xf>
    <xf numFmtId="49" fontId="0" fillId="0" borderId="0" xfId="0" applyNumberFormat="1" applyFill="1" applyAlignment="1">
      <alignment horizontal="center" vertical="top"/>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0" fontId="34" fillId="0" borderId="1" xfId="0" applyFont="1" applyFill="1" applyBorder="1" applyAlignment="1">
      <alignment horizontal="center" vertical="top" wrapText="1"/>
    </xf>
    <xf numFmtId="4" fontId="34" fillId="0" borderId="1"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3" fillId="0" borderId="0" xfId="0" applyFont="1" applyAlignment="1">
      <alignment horizontal="center"/>
    </xf>
    <xf numFmtId="0" fontId="3" fillId="0" borderId="0" xfId="0" applyFont="1" applyAlignment="1">
      <alignment horizontal="left"/>
    </xf>
    <xf numFmtId="0" fontId="42" fillId="0" borderId="2" xfId="0" applyFont="1" applyFill="1" applyBorder="1" applyAlignment="1">
      <alignment horizontal="left" vertical="top" wrapText="1"/>
    </xf>
    <xf numFmtId="0" fontId="42" fillId="0" borderId="4" xfId="0" applyFont="1" applyFill="1" applyBorder="1" applyAlignment="1">
      <alignment horizontal="left" vertical="top" wrapText="1"/>
    </xf>
    <xf numFmtId="0" fontId="40" fillId="0" borderId="2" xfId="0" applyFont="1" applyFill="1" applyBorder="1" applyAlignment="1">
      <alignment horizontal="center" vertical="top" wrapText="1"/>
    </xf>
    <xf numFmtId="0" fontId="40" fillId="0" borderId="4" xfId="0" applyFont="1" applyFill="1" applyBorder="1" applyAlignment="1">
      <alignment horizontal="center" vertical="top" wrapText="1"/>
    </xf>
    <xf numFmtId="0" fontId="42" fillId="0" borderId="5" xfId="0" applyFont="1" applyFill="1" applyBorder="1" applyAlignment="1">
      <alignment horizontal="left" vertical="top" wrapText="1"/>
    </xf>
    <xf numFmtId="0" fontId="42" fillId="0" borderId="6" xfId="0" applyFont="1" applyFill="1" applyBorder="1" applyAlignment="1">
      <alignment horizontal="left" vertical="top" wrapText="1"/>
    </xf>
    <xf numFmtId="0" fontId="42" fillId="0" borderId="8" xfId="0" applyFont="1" applyFill="1" applyBorder="1" applyAlignment="1">
      <alignment horizontal="left" vertical="top" wrapText="1"/>
    </xf>
    <xf numFmtId="0" fontId="42" fillId="0" borderId="9" xfId="0" applyFont="1" applyFill="1" applyBorder="1" applyAlignment="1">
      <alignment horizontal="left" vertical="top" wrapText="1"/>
    </xf>
    <xf numFmtId="0" fontId="42" fillId="0" borderId="16" xfId="0" applyFont="1" applyFill="1" applyBorder="1" applyAlignment="1">
      <alignment horizontal="left" vertical="top" wrapText="1"/>
    </xf>
    <xf numFmtId="0" fontId="42" fillId="0" borderId="17" xfId="0" applyFont="1" applyFill="1" applyBorder="1" applyAlignment="1">
      <alignment horizontal="left" vertical="top" wrapText="1"/>
    </xf>
    <xf numFmtId="0" fontId="43" fillId="0" borderId="5" xfId="0" applyFont="1" applyFill="1" applyBorder="1" applyAlignment="1">
      <alignment horizontal="left" vertical="top" wrapText="1"/>
    </xf>
    <xf numFmtId="0" fontId="43" fillId="0" borderId="6" xfId="0" applyFont="1" applyFill="1" applyBorder="1" applyAlignment="1">
      <alignment horizontal="left" vertical="top" wrapText="1"/>
    </xf>
    <xf numFmtId="0" fontId="45" fillId="0" borderId="1" xfId="0" applyFont="1" applyFill="1" applyBorder="1" applyAlignment="1">
      <alignment horizontal="left" vertical="top" wrapText="1"/>
    </xf>
    <xf numFmtId="0" fontId="42" fillId="0" borderId="1" xfId="0" applyFont="1" applyFill="1" applyBorder="1" applyAlignment="1">
      <alignment horizontal="left" vertical="top" wrapText="1"/>
    </xf>
    <xf numFmtId="49" fontId="42" fillId="0" borderId="5" xfId="0" applyNumberFormat="1" applyFont="1" applyFill="1" applyBorder="1" applyAlignment="1">
      <alignment horizontal="center" vertical="top"/>
    </xf>
    <xf numFmtId="49" fontId="42" fillId="0" borderId="6" xfId="0" applyNumberFormat="1" applyFont="1" applyFill="1" applyBorder="1" applyAlignment="1">
      <alignment horizontal="center" vertical="top"/>
    </xf>
    <xf numFmtId="0" fontId="44" fillId="0" borderId="5" xfId="0" applyFont="1" applyFill="1" applyBorder="1" applyAlignment="1">
      <alignment horizontal="left" vertical="top" wrapText="1"/>
    </xf>
    <xf numFmtId="0" fontId="44" fillId="0" borderId="6" xfId="0" applyFont="1" applyFill="1" applyBorder="1" applyAlignment="1">
      <alignment horizontal="left" vertical="top" wrapText="1"/>
    </xf>
    <xf numFmtId="0" fontId="45" fillId="0" borderId="2" xfId="0" applyFont="1" applyFill="1" applyBorder="1" applyAlignment="1">
      <alignment horizontal="left" vertical="top" wrapText="1"/>
    </xf>
    <xf numFmtId="0" fontId="45" fillId="0" borderId="4" xfId="0" applyFont="1" applyFill="1" applyBorder="1" applyAlignment="1">
      <alignment horizontal="left" vertical="top" wrapText="1"/>
    </xf>
    <xf numFmtId="0" fontId="40" fillId="0" borderId="8" xfId="0" applyFont="1" applyFill="1" applyBorder="1" applyAlignment="1">
      <alignment horizontal="left" vertical="top" wrapText="1"/>
    </xf>
    <xf numFmtId="0" fontId="40" fillId="0" borderId="9"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15" xfId="0" applyFont="1" applyFill="1" applyBorder="1" applyAlignment="1">
      <alignment horizontal="left" vertical="top" wrapText="1"/>
    </xf>
    <xf numFmtId="0" fontId="40" fillId="0" borderId="16" xfId="0" applyFont="1" applyFill="1" applyBorder="1" applyAlignment="1">
      <alignment horizontal="left" vertical="top" wrapText="1"/>
    </xf>
    <xf numFmtId="0" fontId="40" fillId="0" borderId="17" xfId="0" applyFont="1" applyFill="1" applyBorder="1" applyAlignment="1">
      <alignment horizontal="left" vertical="top" wrapText="1"/>
    </xf>
    <xf numFmtId="0" fontId="41" fillId="0" borderId="5" xfId="0" applyFont="1" applyFill="1" applyBorder="1" applyAlignment="1">
      <alignment horizontal="center" vertical="top" wrapText="1"/>
    </xf>
    <xf numFmtId="0" fontId="41" fillId="0" borderId="7" xfId="0" applyFont="1" applyFill="1" applyBorder="1" applyAlignment="1">
      <alignment horizontal="center" vertical="top" wrapText="1"/>
    </xf>
    <xf numFmtId="0" fontId="41" fillId="0" borderId="6" xfId="0" applyFont="1" applyFill="1" applyBorder="1" applyAlignment="1">
      <alignment horizontal="center" vertical="top" wrapText="1"/>
    </xf>
    <xf numFmtId="0" fontId="40" fillId="0" borderId="5" xfId="0" applyFont="1" applyFill="1" applyBorder="1" applyAlignment="1">
      <alignment horizontal="center" vertical="top" wrapText="1"/>
    </xf>
    <xf numFmtId="0" fontId="40" fillId="0" borderId="7" xfId="0" applyFont="1" applyFill="1" applyBorder="1" applyAlignment="1">
      <alignment horizontal="center" vertical="top" wrapText="1"/>
    </xf>
    <xf numFmtId="0" fontId="40" fillId="0" borderId="6" xfId="0" applyFont="1" applyFill="1" applyBorder="1" applyAlignment="1">
      <alignment horizontal="center" vertical="top" wrapText="1"/>
    </xf>
    <xf numFmtId="0" fontId="39" fillId="0" borderId="5" xfId="0" applyFont="1" applyFill="1" applyBorder="1" applyAlignment="1">
      <alignment horizontal="left" vertical="top" wrapText="1"/>
    </xf>
    <xf numFmtId="0" fontId="39" fillId="0" borderId="7" xfId="0" applyFont="1" applyFill="1" applyBorder="1" applyAlignment="1">
      <alignment horizontal="left" vertical="top" wrapText="1"/>
    </xf>
    <xf numFmtId="0" fontId="39" fillId="0" borderId="6" xfId="0" applyFont="1" applyFill="1" applyBorder="1" applyAlignment="1">
      <alignment horizontal="left" vertical="top" wrapText="1"/>
    </xf>
    <xf numFmtId="49" fontId="42" fillId="0" borderId="1" xfId="0" applyNumberFormat="1" applyFont="1" applyFill="1" applyBorder="1" applyAlignment="1">
      <alignment horizontal="center" vertical="center"/>
    </xf>
    <xf numFmtId="0" fontId="43" fillId="0" borderId="1" xfId="0" applyFont="1" applyFill="1" applyBorder="1" applyAlignment="1">
      <alignment horizontal="left" vertical="top" wrapText="1"/>
    </xf>
    <xf numFmtId="49" fontId="40" fillId="0" borderId="5" xfId="0" applyNumberFormat="1" applyFont="1" applyFill="1" applyBorder="1" applyAlignment="1">
      <alignment horizontal="center" vertical="top"/>
    </xf>
    <xf numFmtId="49" fontId="40" fillId="0" borderId="7" xfId="0" applyNumberFormat="1" applyFont="1" applyFill="1" applyBorder="1" applyAlignment="1">
      <alignment horizontal="center" vertical="top"/>
    </xf>
    <xf numFmtId="49" fontId="41" fillId="0" borderId="5" xfId="0" applyNumberFormat="1" applyFont="1" applyFill="1" applyBorder="1" applyAlignment="1">
      <alignment horizontal="center" vertical="top"/>
    </xf>
    <xf numFmtId="49" fontId="41" fillId="0" borderId="7" xfId="0" applyNumberFormat="1" applyFont="1" applyFill="1" applyBorder="1" applyAlignment="1">
      <alignment horizontal="center" vertical="top"/>
    </xf>
    <xf numFmtId="0" fontId="40" fillId="0" borderId="8" xfId="0" applyFont="1" applyFill="1" applyBorder="1" applyAlignment="1">
      <alignment horizontal="center" vertical="top" wrapText="1"/>
    </xf>
    <xf numFmtId="0" fontId="40" fillId="0" borderId="9" xfId="0" applyFont="1" applyFill="1" applyBorder="1" applyAlignment="1">
      <alignment horizontal="center" vertical="top" wrapText="1"/>
    </xf>
    <xf numFmtId="0" fontId="40" fillId="0" borderId="11" xfId="0" applyFont="1" applyFill="1" applyBorder="1" applyAlignment="1">
      <alignment horizontal="center" vertical="top" wrapText="1"/>
    </xf>
    <xf numFmtId="0" fontId="40" fillId="0" borderId="15" xfId="0" applyFont="1" applyFill="1" applyBorder="1" applyAlignment="1">
      <alignment horizontal="center" vertical="top" wrapText="1"/>
    </xf>
    <xf numFmtId="0" fontId="24" fillId="0" borderId="5" xfId="0" applyFont="1" applyFill="1" applyBorder="1" applyAlignment="1">
      <alignment horizontal="center" vertical="top" wrapText="1"/>
    </xf>
    <xf numFmtId="0" fontId="24" fillId="0" borderId="6" xfId="0" applyFont="1" applyFill="1" applyBorder="1" applyAlignment="1">
      <alignment horizontal="center" vertical="top" wrapText="1"/>
    </xf>
    <xf numFmtId="0" fontId="24" fillId="0" borderId="1" xfId="0" applyFont="1" applyFill="1" applyBorder="1" applyAlignment="1">
      <alignment horizontal="center" vertical="top" wrapText="1"/>
    </xf>
    <xf numFmtId="0" fontId="38" fillId="0" borderId="5" xfId="0" applyFont="1" applyFill="1" applyBorder="1" applyAlignment="1">
      <alignment horizontal="center" vertical="top" wrapText="1"/>
    </xf>
    <xf numFmtId="0" fontId="38" fillId="0" borderId="7" xfId="0" applyFont="1" applyFill="1" applyBorder="1" applyAlignment="1">
      <alignment horizontal="center" vertical="top" wrapText="1"/>
    </xf>
    <xf numFmtId="0" fontId="38" fillId="0" borderId="6" xfId="0" applyFont="1" applyFill="1" applyBorder="1" applyAlignment="1">
      <alignment horizontal="center" vertical="top" wrapText="1"/>
    </xf>
    <xf numFmtId="0" fontId="38" fillId="0" borderId="5" xfId="0" applyFont="1" applyFill="1" applyBorder="1" applyAlignment="1">
      <alignment horizontal="left" vertical="top" wrapText="1"/>
    </xf>
    <xf numFmtId="0" fontId="38" fillId="0" borderId="7" xfId="0" applyFont="1" applyFill="1" applyBorder="1" applyAlignment="1">
      <alignment horizontal="left" vertical="top" wrapText="1"/>
    </xf>
    <xf numFmtId="0" fontId="38" fillId="0" borderId="6" xfId="0" applyFont="1" applyFill="1" applyBorder="1" applyAlignment="1">
      <alignment horizontal="left" vertical="top" wrapText="1"/>
    </xf>
    <xf numFmtId="0" fontId="39" fillId="0" borderId="5" xfId="0" applyFont="1" applyFill="1" applyBorder="1" applyAlignment="1">
      <alignment horizontal="center" vertical="top" wrapText="1"/>
    </xf>
    <xf numFmtId="0" fontId="39" fillId="0" borderId="7" xfId="0" applyFont="1" applyFill="1" applyBorder="1" applyAlignment="1">
      <alignment horizontal="center" vertical="top" wrapText="1"/>
    </xf>
    <xf numFmtId="0" fontId="39" fillId="0" borderId="6" xfId="0" applyFont="1" applyFill="1" applyBorder="1" applyAlignment="1">
      <alignment horizontal="center" vertical="top" wrapText="1"/>
    </xf>
    <xf numFmtId="0" fontId="38" fillId="0" borderId="8" xfId="0" applyFont="1" applyFill="1" applyBorder="1" applyAlignment="1">
      <alignment horizontal="center" vertical="top" wrapText="1"/>
    </xf>
    <xf numFmtId="0" fontId="38" fillId="0" borderId="9" xfId="0" applyFont="1" applyFill="1" applyBorder="1" applyAlignment="1">
      <alignment horizontal="center" vertical="top" wrapText="1"/>
    </xf>
    <xf numFmtId="0" fontId="38" fillId="0" borderId="11" xfId="0" applyFont="1" applyFill="1" applyBorder="1" applyAlignment="1">
      <alignment horizontal="center" vertical="top" wrapText="1"/>
    </xf>
    <xf numFmtId="0" fontId="38" fillId="0" borderId="15" xfId="0" applyFont="1" applyFill="1" applyBorder="1" applyAlignment="1">
      <alignment horizontal="center" vertical="top" wrapText="1"/>
    </xf>
    <xf numFmtId="0" fontId="38" fillId="0" borderId="16" xfId="0" applyFont="1" applyFill="1" applyBorder="1" applyAlignment="1">
      <alignment horizontal="center" vertical="top" wrapText="1"/>
    </xf>
    <xf numFmtId="0" fontId="38" fillId="0" borderId="17" xfId="0" applyFont="1" applyFill="1" applyBorder="1" applyAlignment="1">
      <alignment horizontal="center" vertical="top" wrapText="1"/>
    </xf>
    <xf numFmtId="0" fontId="7" fillId="0" borderId="0" xfId="0" applyFont="1" applyFill="1" applyAlignment="1">
      <alignment horizontal="center" vertical="top"/>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38" fillId="0" borderId="2" xfId="0" applyFont="1" applyFill="1" applyBorder="1" applyAlignment="1">
      <alignment horizontal="center" vertical="top" wrapText="1"/>
    </xf>
    <xf numFmtId="0" fontId="38" fillId="0" borderId="3" xfId="0" applyFont="1" applyFill="1" applyBorder="1" applyAlignment="1">
      <alignment horizontal="center" vertical="top" wrapText="1"/>
    </xf>
    <xf numFmtId="0" fontId="38" fillId="0" borderId="4" xfId="0" applyFont="1" applyFill="1" applyBorder="1" applyAlignment="1">
      <alignment horizontal="center" vertical="top" wrapText="1"/>
    </xf>
    <xf numFmtId="0" fontId="7" fillId="0" borderId="13" xfId="0" applyFont="1" applyFill="1" applyBorder="1" applyAlignment="1">
      <alignment horizontal="center"/>
    </xf>
    <xf numFmtId="0" fontId="7" fillId="0" borderId="0" xfId="0" applyFont="1" applyFill="1" applyBorder="1" applyAlignment="1">
      <alignment horizontal="center"/>
    </xf>
    <xf numFmtId="0" fontId="24" fillId="0" borderId="2" xfId="0" applyFont="1" applyFill="1" applyBorder="1" applyAlignment="1">
      <alignment horizontal="center" vertical="top" wrapText="1"/>
    </xf>
    <xf numFmtId="0" fontId="24" fillId="0" borderId="3" xfId="0" applyFont="1" applyFill="1" applyBorder="1" applyAlignment="1">
      <alignment horizontal="center" vertical="top" wrapText="1"/>
    </xf>
    <xf numFmtId="0" fontId="24" fillId="0" borderId="4" xfId="0" applyFont="1" applyFill="1" applyBorder="1" applyAlignment="1">
      <alignment horizontal="center" vertical="top" wrapText="1"/>
    </xf>
    <xf numFmtId="165" fontId="24" fillId="3" borderId="1" xfId="0" applyNumberFormat="1" applyFont="1" applyFill="1" applyBorder="1" applyAlignment="1">
      <alignment horizontal="center" vertical="top" wrapText="1"/>
    </xf>
    <xf numFmtId="0" fontId="12" fillId="0" borderId="0" xfId="0" applyFont="1" applyAlignment="1">
      <alignment horizontal="center"/>
    </xf>
    <xf numFmtId="0" fontId="12" fillId="0" borderId="0" xfId="0" applyFont="1" applyAlignment="1">
      <alignment horizontal="left"/>
    </xf>
    <xf numFmtId="3" fontId="24" fillId="0" borderId="8" xfId="0" applyNumberFormat="1" applyFont="1" applyFill="1" applyBorder="1" applyAlignment="1">
      <alignment horizontal="center" vertical="top" wrapText="1"/>
    </xf>
    <xf numFmtId="3" fontId="24" fillId="0" borderId="9" xfId="0" applyNumberFormat="1" applyFont="1" applyFill="1" applyBorder="1" applyAlignment="1">
      <alignment horizontal="center" vertical="top" wrapText="1"/>
    </xf>
    <xf numFmtId="164" fontId="24" fillId="0" borderId="1" xfId="0" applyNumberFormat="1" applyFont="1" applyFill="1" applyBorder="1" applyAlignment="1">
      <alignment horizontal="center" vertical="top" wrapText="1"/>
    </xf>
    <xf numFmtId="4" fontId="28" fillId="0" borderId="0" xfId="0" applyNumberFormat="1" applyFont="1" applyFill="1" applyAlignment="1">
      <alignment horizontal="left" vertical="top" wrapText="1"/>
    </xf>
    <xf numFmtId="0" fontId="10" fillId="0" borderId="0" xfId="0" applyFont="1" applyBorder="1" applyAlignment="1">
      <alignment horizontal="center"/>
    </xf>
    <xf numFmtId="0" fontId="24" fillId="0" borderId="1" xfId="0" applyFont="1" applyFill="1" applyBorder="1" applyAlignment="1">
      <alignment horizontal="center" vertical="center" wrapText="1"/>
    </xf>
    <xf numFmtId="0" fontId="34" fillId="0" borderId="5" xfId="0" applyFont="1" applyBorder="1" applyAlignment="1">
      <alignment horizontal="center" vertical="top" wrapText="1"/>
    </xf>
    <xf numFmtId="0" fontId="34" fillId="0" borderId="6" xfId="0" applyFont="1" applyBorder="1" applyAlignment="1">
      <alignment horizontal="center" vertical="top" wrapText="1"/>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0" fontId="22" fillId="0" borderId="1" xfId="0" applyFont="1" applyFill="1" applyBorder="1" applyAlignment="1">
      <alignment horizontal="center" wrapText="1"/>
    </xf>
    <xf numFmtId="0" fontId="3" fillId="0" borderId="0" xfId="4" applyFont="1" applyAlignment="1">
      <alignment horizontal="center"/>
    </xf>
    <xf numFmtId="0" fontId="3" fillId="0" borderId="0" xfId="4" applyFont="1" applyFill="1" applyAlignment="1">
      <alignment horizontal="center"/>
    </xf>
    <xf numFmtId="0" fontId="3" fillId="0" borderId="0" xfId="4" applyFont="1" applyAlignment="1">
      <alignment horizontal="left"/>
    </xf>
    <xf numFmtId="0" fontId="3" fillId="0" borderId="0" xfId="4" applyFont="1" applyAlignment="1"/>
    <xf numFmtId="0" fontId="3" fillId="0" borderId="5" xfId="4" applyFont="1" applyBorder="1" applyAlignment="1">
      <alignment horizontal="center" vertical="top" wrapText="1"/>
    </xf>
    <xf numFmtId="0" fontId="3" fillId="0" borderId="7" xfId="4" applyFont="1" applyBorder="1" applyAlignment="1">
      <alignment horizontal="center" vertical="top" wrapText="1"/>
    </xf>
    <xf numFmtId="0" fontId="3" fillId="0" borderId="6" xfId="4" applyFont="1" applyBorder="1" applyAlignment="1">
      <alignment horizontal="center" vertical="top" wrapText="1"/>
    </xf>
    <xf numFmtId="0" fontId="3" fillId="0" borderId="5" xfId="4" applyFont="1" applyBorder="1" applyAlignment="1">
      <alignment horizontal="left" vertical="top" wrapText="1"/>
    </xf>
    <xf numFmtId="0" fontId="3" fillId="0" borderId="7" xfId="4" applyFont="1" applyBorder="1" applyAlignment="1">
      <alignment horizontal="left" vertical="top" wrapText="1"/>
    </xf>
    <xf numFmtId="0" fontId="3" fillId="0" borderId="6" xfId="4" applyFont="1" applyBorder="1" applyAlignment="1">
      <alignment horizontal="left" vertical="top" wrapText="1"/>
    </xf>
    <xf numFmtId="14" fontId="3" fillId="0" borderId="1" xfId="4" applyNumberFormat="1" applyFont="1" applyBorder="1" applyAlignment="1">
      <alignment horizontal="left" vertical="top" wrapText="1"/>
    </xf>
    <xf numFmtId="0" fontId="3" fillId="0" borderId="1" xfId="4" applyFont="1" applyBorder="1" applyAlignment="1">
      <alignment horizontal="left" vertical="top" wrapText="1"/>
    </xf>
    <xf numFmtId="0" fontId="15" fillId="0" borderId="0" xfId="0" applyFont="1" applyFill="1" applyAlignment="1">
      <alignment horizontal="center"/>
    </xf>
    <xf numFmtId="0" fontId="2" fillId="0" borderId="0" xfId="0" applyFont="1" applyFill="1" applyAlignment="1">
      <alignment horizontal="center" vertical="top" wrapText="1"/>
    </xf>
    <xf numFmtId="0" fontId="2" fillId="0" borderId="0" xfId="0" applyFont="1" applyFill="1" applyAlignment="1">
      <alignment horizontal="center"/>
    </xf>
    <xf numFmtId="0" fontId="1" fillId="0" borderId="0" xfId="0" applyFont="1" applyFill="1" applyAlignment="1">
      <alignment horizontal="center" vertical="top" wrapText="1"/>
    </xf>
    <xf numFmtId="0" fontId="5" fillId="0" borderId="0" xfId="0" applyFont="1" applyFill="1" applyAlignment="1">
      <alignment horizontal="center" vertical="top"/>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xf>
    <xf numFmtId="0" fontId="7" fillId="0" borderId="6" xfId="0" applyFont="1" applyFill="1" applyBorder="1" applyAlignment="1">
      <alignment horizontal="left" vertical="top" wrapText="1"/>
    </xf>
    <xf numFmtId="49" fontId="3" fillId="4" borderId="5" xfId="0" applyNumberFormat="1" applyFont="1" applyFill="1" applyBorder="1" applyAlignment="1">
      <alignment horizontal="center" vertical="top"/>
    </xf>
    <xf numFmtId="49" fontId="3" fillId="4" borderId="6" xfId="0" applyNumberFormat="1" applyFont="1" applyFill="1" applyBorder="1" applyAlignment="1">
      <alignment horizontal="center" vertical="top"/>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3" fillId="0" borderId="6" xfId="0" applyFont="1" applyFill="1" applyBorder="1" applyAlignment="1">
      <alignment horizontal="center" vertical="top" wrapText="1"/>
    </xf>
    <xf numFmtId="0" fontId="7" fillId="4" borderId="5" xfId="0" applyFont="1" applyFill="1" applyBorder="1" applyAlignment="1">
      <alignment horizontal="center" vertical="top"/>
    </xf>
    <xf numFmtId="0" fontId="7" fillId="4" borderId="6" xfId="0" applyFont="1" applyFill="1" applyBorder="1" applyAlignment="1">
      <alignment horizontal="center" vertical="top"/>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49" fontId="3" fillId="0" borderId="5" xfId="0" applyNumberFormat="1" applyFont="1" applyFill="1" applyBorder="1" applyAlignment="1">
      <alignment horizontal="left" vertical="top"/>
    </xf>
    <xf numFmtId="49" fontId="3" fillId="0" borderId="6" xfId="0" applyNumberFormat="1" applyFont="1" applyFill="1" applyBorder="1" applyAlignment="1">
      <alignment horizontal="left" vertical="top"/>
    </xf>
    <xf numFmtId="0" fontId="3" fillId="0" borderId="5" xfId="0" applyNumberFormat="1" applyFont="1" applyFill="1" applyBorder="1" applyAlignment="1">
      <alignment horizontal="left" vertical="top" wrapText="1"/>
    </xf>
    <xf numFmtId="0" fontId="3" fillId="0" borderId="6" xfId="0" applyNumberFormat="1" applyFont="1" applyFill="1" applyBorder="1" applyAlignment="1">
      <alignment horizontal="left" vertical="top" wrapText="1"/>
    </xf>
    <xf numFmtId="0" fontId="3" fillId="0" borderId="7"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10" fillId="0" borderId="0" xfId="0" applyFont="1" applyAlignment="1">
      <alignment horizontal="center"/>
    </xf>
    <xf numFmtId="0" fontId="10" fillId="0" borderId="0" xfId="0" applyFont="1" applyAlignment="1">
      <alignment horizontal="center" wrapText="1"/>
    </xf>
    <xf numFmtId="165" fontId="7" fillId="0" borderId="5" xfId="1" applyNumberFormat="1" applyFont="1" applyFill="1" applyBorder="1" applyAlignment="1">
      <alignment horizontal="center" vertical="top"/>
    </xf>
    <xf numFmtId="165" fontId="7" fillId="0" borderId="7" xfId="1" applyNumberFormat="1" applyFont="1" applyFill="1" applyBorder="1" applyAlignment="1">
      <alignment horizontal="center" vertical="top"/>
    </xf>
    <xf numFmtId="165" fontId="7" fillId="0" borderId="6" xfId="1" applyNumberFormat="1" applyFont="1" applyFill="1" applyBorder="1" applyAlignment="1">
      <alignment horizontal="center" vertical="top"/>
    </xf>
    <xf numFmtId="0" fontId="5" fillId="0" borderId="0" xfId="0" applyFont="1" applyAlignment="1">
      <alignment horizontal="center" vertical="top"/>
    </xf>
    <xf numFmtId="0" fontId="4" fillId="0" borderId="0" xfId="0" applyFont="1" applyFill="1" applyAlignment="1">
      <alignment horizontal="center"/>
    </xf>
    <xf numFmtId="0" fontId="2" fillId="0" borderId="0" xfId="0" applyFont="1" applyAlignment="1">
      <alignment horizontal="left"/>
    </xf>
    <xf numFmtId="0" fontId="2" fillId="0" borderId="0" xfId="0" applyFont="1" applyAlignment="1">
      <alignment horizontal="left" vertical="top" wrapText="1"/>
    </xf>
    <xf numFmtId="0" fontId="12" fillId="0" borderId="0" xfId="0" applyFont="1" applyAlignment="1">
      <alignment horizontal="center" vertical="top" wrapText="1"/>
    </xf>
    <xf numFmtId="0" fontId="1" fillId="0" borderId="0" xfId="0" applyFont="1" applyAlignment="1">
      <alignment horizontal="center" wrapText="1"/>
    </xf>
    <xf numFmtId="0" fontId="4" fillId="0" borderId="0" xfId="0" applyFont="1" applyAlignment="1">
      <alignment horizontal="center"/>
    </xf>
    <xf numFmtId="0" fontId="3" fillId="0" borderId="0" xfId="0" applyFont="1" applyBorder="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applyAlignment="1">
      <alignment horizontal="center" vertical="top" wrapText="1"/>
    </xf>
    <xf numFmtId="49" fontId="3" fillId="0" borderId="7" xfId="0" applyNumberFormat="1" applyFont="1" applyFill="1" applyBorder="1" applyAlignment="1">
      <alignment horizontal="left" vertical="top"/>
    </xf>
  </cellXfs>
  <cellStyles count="8">
    <cellStyle name="xl26" xfId="6"/>
    <cellStyle name="xl36" xfId="2"/>
    <cellStyle name="xl40 2" xfId="5"/>
    <cellStyle name="xl41 2" xfId="3"/>
    <cellStyle name="xl60" xfId="7"/>
    <cellStyle name="Обычный" xfId="0" builtinId="0"/>
    <cellStyle name="Обычный 2" xfId="1"/>
    <cellStyle name="Обычный 3" xfId="4"/>
  </cellStyles>
  <dxfs count="0"/>
  <tableStyles count="0" defaultTableStyle="TableStyleMedium9" defaultPivotStyle="PivotStyleLight16"/>
  <colors>
    <mruColors>
      <color rgb="FFFFFF99"/>
      <color rgb="FF27E5F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89;&#1087;&#1088;&#1072;&#1074;&#1082;&#1072;%20&#1079;&#1072;%202017%20&#1075;&#1086;&#1076;%20(&#1087;&#1077;&#1088;&#1074;&#1086;&#1085;&#1072;&#1095;%20&#1080;%20&#1091;&#1090;&#1086;&#1095;%20&#1088;&#1086;&#1089;&#1087;&#1080;&#1089;&#1100;%20&#1087;&#1086;%20&#1062;&#1057;&#10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0;&#1086;&#1087;&#1080;&#1103;%20&#1089;&#1087;&#1088;&#1072;&#1074;&#1082;&#1072;%20&#1079;&#1072;%202017%20&#1075;&#1086;&#1076;%20(&#1087;&#1077;&#1088;&#1074;&#1086;&#1085;&#1072;&#1095;%20&#1080;%20&#1091;&#1090;&#1086;&#1095;%20&#1088;&#1086;&#1089;&#1087;&#1080;&#1089;&#1100;%20&#1087;&#1086;%20&#1062;&#1057;&#10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_mszn/&#1043;&#1054;&#1057;&#1055;&#1056;&#1054;&#1043;&#1056;&#1040;&#1052;&#1052;&#1040;/&#1048;&#1079;&#1084;&#1077;&#1085;&#1077;&#1085;&#1080;&#1103;%202018/&#1043;&#1047;%20&#1076;&#1083;&#1103;%20&#1052;&#1086;&#1088;&#1086;&#1079;&#1086;&#1074;&#1086;&#108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87;&#1086;&#1083;&#1100;&#1079;&#1086;&#1074;&#1072;&#1090;&#1077;&#1083;&#1100;/AppData/Roaming/Microsoft/Excel/2016%20&#1075;&#1086;&#1076;%20&#1055;&#1088;&#1080;&#1083;&#1086;&#1078;&#1077;&#1085;&#1080;&#1103;%20&#1082;%20&#1043;&#1055;%20%20&#1085;&#1072;%202015-2020%20&#1074;&#1085;&#1077;&#1089;&#1085;&#1080;&#1077;%20&#1080;&#1079;&#1084;&#1080;&#1085;&#1077;&#1085;&#1080;&#10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без учета счетов бюджета"/>
    </sheetNames>
    <sheetDataSet>
      <sheetData sheetId="0">
        <row r="8">
          <cell r="AN8">
            <v>86761.600000000006</v>
          </cell>
          <cell r="AO8">
            <v>89387.8</v>
          </cell>
          <cell r="AP8">
            <v>89386.400699999998</v>
          </cell>
        </row>
        <row r="9">
          <cell r="AN9">
            <v>20066.8</v>
          </cell>
          <cell r="AO9">
            <v>14950</v>
          </cell>
          <cell r="AP9">
            <v>14509.793730000001</v>
          </cell>
        </row>
        <row r="10">
          <cell r="AN10">
            <v>10000</v>
          </cell>
          <cell r="AO10">
            <v>10000</v>
          </cell>
          <cell r="AP10">
            <v>10000</v>
          </cell>
        </row>
        <row r="11">
          <cell r="AN11">
            <v>7758</v>
          </cell>
          <cell r="AO11">
            <v>6320.1840000000002</v>
          </cell>
          <cell r="AP11">
            <v>6320.1840000000002</v>
          </cell>
        </row>
        <row r="12">
          <cell r="AN12">
            <v>6044.9</v>
          </cell>
          <cell r="AO12">
            <v>5994.9</v>
          </cell>
          <cell r="AP12">
            <v>5993.8422399999999</v>
          </cell>
        </row>
        <row r="13">
          <cell r="AN13">
            <v>613.29999999999995</v>
          </cell>
          <cell r="AO13">
            <v>613.29999999999995</v>
          </cell>
          <cell r="AP13">
            <v>591.43338000000006</v>
          </cell>
        </row>
        <row r="14">
          <cell r="AN14">
            <v>1273990.3</v>
          </cell>
          <cell r="AO14">
            <v>1416168</v>
          </cell>
          <cell r="AP14">
            <v>1416167.9860699999</v>
          </cell>
        </row>
        <row r="15">
          <cell r="AN15">
            <v>74179.100000000006</v>
          </cell>
          <cell r="AO15">
            <v>70626.816000000006</v>
          </cell>
          <cell r="AP15">
            <v>70626.816000000006</v>
          </cell>
        </row>
        <row r="16">
          <cell r="AN16">
            <v>13321</v>
          </cell>
          <cell r="AO16">
            <v>13121</v>
          </cell>
          <cell r="AP16">
            <v>12938.48775</v>
          </cell>
        </row>
        <row r="17">
          <cell r="AN17">
            <v>2234</v>
          </cell>
          <cell r="AO17">
            <v>2234</v>
          </cell>
          <cell r="AP17">
            <v>2226.2604000000001</v>
          </cell>
        </row>
        <row r="18">
          <cell r="AN18">
            <v>620409.69999999995</v>
          </cell>
          <cell r="AO18">
            <v>652511.6</v>
          </cell>
          <cell r="AP18">
            <v>652511.16500000004</v>
          </cell>
        </row>
        <row r="19">
          <cell r="AN19">
            <v>8711.4</v>
          </cell>
          <cell r="AO19">
            <v>8455</v>
          </cell>
          <cell r="AP19">
            <v>8455</v>
          </cell>
        </row>
        <row r="20">
          <cell r="AN20">
            <v>0</v>
          </cell>
          <cell r="AO20">
            <v>145</v>
          </cell>
          <cell r="AP20">
            <v>141.50753</v>
          </cell>
        </row>
        <row r="21">
          <cell r="AN21">
            <v>33301.199999999997</v>
          </cell>
          <cell r="AO21">
            <v>29301.200000000001</v>
          </cell>
          <cell r="AP21">
            <v>27095.652300000002</v>
          </cell>
        </row>
        <row r="22">
          <cell r="AN22">
            <v>549.4</v>
          </cell>
          <cell r="AO22">
            <v>510.8</v>
          </cell>
          <cell r="AP22">
            <v>501.15319</v>
          </cell>
        </row>
        <row r="23">
          <cell r="AN23">
            <v>40903</v>
          </cell>
          <cell r="AO23">
            <v>38351.5</v>
          </cell>
          <cell r="AP23">
            <v>38350.922890000002</v>
          </cell>
        </row>
        <row r="24">
          <cell r="AN24">
            <v>55434.400000000001</v>
          </cell>
          <cell r="AO24">
            <v>57944.800000000003</v>
          </cell>
          <cell r="AP24">
            <v>57838.055970000001</v>
          </cell>
        </row>
        <row r="25">
          <cell r="AN25">
            <v>124</v>
          </cell>
          <cell r="AO25">
            <v>124</v>
          </cell>
          <cell r="AP25">
            <v>49.164519999999996</v>
          </cell>
        </row>
        <row r="26">
          <cell r="AN26">
            <v>1123999.8</v>
          </cell>
          <cell r="AO26">
            <v>1223664.1000000001</v>
          </cell>
          <cell r="AP26">
            <v>1223658.33556</v>
          </cell>
        </row>
        <row r="27">
          <cell r="AN27">
            <v>178.1</v>
          </cell>
          <cell r="AO27">
            <v>178.1</v>
          </cell>
          <cell r="AP27">
            <v>85.48557000000001</v>
          </cell>
        </row>
        <row r="28">
          <cell r="AN28">
            <v>175</v>
          </cell>
          <cell r="AO28">
            <v>10931.29</v>
          </cell>
          <cell r="AP28">
            <v>10309.25467</v>
          </cell>
        </row>
        <row r="29">
          <cell r="AN29">
            <v>10000</v>
          </cell>
          <cell r="AO29">
            <v>8826.1322300000011</v>
          </cell>
          <cell r="AP29">
            <v>8826.1322300000011</v>
          </cell>
        </row>
        <row r="30">
          <cell r="AN30">
            <v>508.4</v>
          </cell>
          <cell r="AO30">
            <v>0</v>
          </cell>
          <cell r="AP30">
            <v>0</v>
          </cell>
        </row>
        <row r="31">
          <cell r="AN31">
            <v>232.3</v>
          </cell>
          <cell r="AO31">
            <v>0</v>
          </cell>
          <cell r="AP31">
            <v>0</v>
          </cell>
        </row>
        <row r="41">
          <cell r="AN41">
            <v>0</v>
          </cell>
          <cell r="AO41">
            <v>2960.8</v>
          </cell>
          <cell r="AP41">
            <v>2960.8</v>
          </cell>
        </row>
        <row r="76">
          <cell r="AN76">
            <v>13423.7</v>
          </cell>
          <cell r="AO76">
            <v>9854.7999999999993</v>
          </cell>
          <cell r="AP76">
            <v>9467.5292699999991</v>
          </cell>
        </row>
        <row r="77">
          <cell r="AN77">
            <v>67165.600000000006</v>
          </cell>
          <cell r="AO77">
            <v>67181.850000000006</v>
          </cell>
          <cell r="AP77">
            <v>66679.443799999994</v>
          </cell>
        </row>
        <row r="78">
          <cell r="AN78">
            <v>226668.1</v>
          </cell>
          <cell r="AO78">
            <v>224974.8</v>
          </cell>
          <cell r="AP78">
            <v>223229.86496000001</v>
          </cell>
        </row>
        <row r="79">
          <cell r="AN79">
            <v>0</v>
          </cell>
          <cell r="AO79">
            <v>8916.2999999999993</v>
          </cell>
          <cell r="AP79">
            <v>8915.4706700000006</v>
          </cell>
        </row>
        <row r="80">
          <cell r="AN80">
            <v>10567.1</v>
          </cell>
          <cell r="AO80">
            <v>10480.1</v>
          </cell>
          <cell r="AP80">
            <v>9426.1602800000001</v>
          </cell>
        </row>
        <row r="81">
          <cell r="AN81">
            <v>13202.2</v>
          </cell>
          <cell r="AO81">
            <v>13202.2</v>
          </cell>
          <cell r="AP81">
            <v>12164.98531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без учета счетов бюджета"/>
    </sheetNames>
    <sheetDataSet>
      <sheetData sheetId="0">
        <row r="32">
          <cell r="AO32">
            <v>138.19999999999999</v>
          </cell>
        </row>
        <row r="33">
          <cell r="AO33">
            <v>25.3</v>
          </cell>
        </row>
        <row r="34">
          <cell r="AO34">
            <v>100.2</v>
          </cell>
        </row>
        <row r="35">
          <cell r="AO35">
            <v>413.9</v>
          </cell>
        </row>
        <row r="36">
          <cell r="AO36">
            <v>494.4</v>
          </cell>
        </row>
        <row r="37">
          <cell r="AO37">
            <v>925.1</v>
          </cell>
        </row>
        <row r="38">
          <cell r="AO38">
            <v>29.5</v>
          </cell>
        </row>
        <row r="39">
          <cell r="AO39">
            <v>43.5</v>
          </cell>
        </row>
        <row r="40">
          <cell r="AO40">
            <v>50</v>
          </cell>
        </row>
        <row r="42">
          <cell r="AO42">
            <v>1300</v>
          </cell>
          <cell r="AP42">
            <v>1373</v>
          </cell>
          <cell r="AQ42">
            <v>1371.8</v>
          </cell>
        </row>
        <row r="43">
          <cell r="AO43">
            <v>34104.800000000003</v>
          </cell>
          <cell r="AP43">
            <v>25234.9</v>
          </cell>
          <cell r="AQ43">
            <v>24544.993460000002</v>
          </cell>
        </row>
        <row r="44">
          <cell r="AO44">
            <v>9000</v>
          </cell>
          <cell r="AP44">
            <v>9124.1</v>
          </cell>
          <cell r="AQ44">
            <v>9124.0626400000001</v>
          </cell>
        </row>
        <row r="45">
          <cell r="AO45">
            <v>379481</v>
          </cell>
          <cell r="AP45">
            <v>335425.8</v>
          </cell>
          <cell r="AQ45">
            <v>326585.35834999999</v>
          </cell>
        </row>
        <row r="46">
          <cell r="AO46">
            <v>293100</v>
          </cell>
          <cell r="AP46">
            <v>305630.90000000002</v>
          </cell>
          <cell r="AQ46">
            <v>305630.39782999997</v>
          </cell>
        </row>
        <row r="47">
          <cell r="AO47">
            <v>17620.900000000001</v>
          </cell>
          <cell r="AP47">
            <v>12618.3</v>
          </cell>
          <cell r="AQ47">
            <v>10897.8801</v>
          </cell>
        </row>
        <row r="48">
          <cell r="AO48">
            <v>606901.30000000005</v>
          </cell>
          <cell r="AP48">
            <v>589474.6</v>
          </cell>
          <cell r="AQ48">
            <v>588379.19772000005</v>
          </cell>
        </row>
        <row r="49">
          <cell r="AO49">
            <v>700</v>
          </cell>
          <cell r="AP49">
            <v>700</v>
          </cell>
          <cell r="AQ49">
            <v>660</v>
          </cell>
        </row>
        <row r="50">
          <cell r="AO50">
            <v>700</v>
          </cell>
          <cell r="AP50">
            <v>480</v>
          </cell>
          <cell r="AQ50">
            <v>480</v>
          </cell>
        </row>
        <row r="51">
          <cell r="AO51">
            <v>9205.9</v>
          </cell>
          <cell r="AP51">
            <v>15929.4</v>
          </cell>
          <cell r="AQ51">
            <v>15929.4</v>
          </cell>
        </row>
        <row r="52">
          <cell r="AO52">
            <v>12.1</v>
          </cell>
        </row>
        <row r="53">
          <cell r="AO53">
            <v>137.6</v>
          </cell>
          <cell r="AP53">
            <v>137.6</v>
          </cell>
          <cell r="AQ53">
            <v>0</v>
          </cell>
        </row>
        <row r="54">
          <cell r="AO54">
            <v>281329.8</v>
          </cell>
          <cell r="AP54">
            <v>286929.8</v>
          </cell>
          <cell r="AQ54">
            <v>272096.51432999998</v>
          </cell>
        </row>
        <row r="55">
          <cell r="AO55">
            <v>20000</v>
          </cell>
          <cell r="AP55">
            <v>20000</v>
          </cell>
          <cell r="AQ55">
            <v>20000</v>
          </cell>
        </row>
        <row r="56">
          <cell r="AO56">
            <v>6672</v>
          </cell>
          <cell r="AP56">
            <v>6393.5</v>
          </cell>
          <cell r="AQ56">
            <v>5648.6380199999994</v>
          </cell>
        </row>
        <row r="57">
          <cell r="AO57">
            <v>166.5</v>
          </cell>
          <cell r="AP57">
            <v>165.166</v>
          </cell>
          <cell r="AQ57">
            <v>110.69358</v>
          </cell>
        </row>
        <row r="58">
          <cell r="AO58">
            <v>782</v>
          </cell>
          <cell r="AP58">
            <v>782</v>
          </cell>
          <cell r="AQ58">
            <v>576.81428000000005</v>
          </cell>
        </row>
        <row r="59">
          <cell r="AO59">
            <v>2.5</v>
          </cell>
          <cell r="AP59">
            <v>1.5</v>
          </cell>
          <cell r="AQ59">
            <v>1.5</v>
          </cell>
        </row>
        <row r="60">
          <cell r="AO60">
            <v>24</v>
          </cell>
          <cell r="AP60">
            <v>26.334</v>
          </cell>
          <cell r="AQ60">
            <v>26.334</v>
          </cell>
        </row>
        <row r="61">
          <cell r="AO61">
            <v>668153.59999999998</v>
          </cell>
          <cell r="AP61">
            <v>668153.59999999998</v>
          </cell>
          <cell r="AQ61">
            <v>647601.6</v>
          </cell>
        </row>
        <row r="62">
          <cell r="AO62">
            <v>44989.4</v>
          </cell>
          <cell r="AP62">
            <v>48189.4</v>
          </cell>
          <cell r="AQ62">
            <v>46294.400000000001</v>
          </cell>
        </row>
        <row r="63">
          <cell r="AO63">
            <v>1130362.6000000001</v>
          </cell>
          <cell r="AP63">
            <v>1209016.7</v>
          </cell>
          <cell r="AQ63">
            <v>1177469.25223</v>
          </cell>
        </row>
        <row r="64">
          <cell r="AO64">
            <v>4176.8999999999996</v>
          </cell>
          <cell r="AP64">
            <v>3676.9</v>
          </cell>
          <cell r="AQ64">
            <v>3194.6709300000002</v>
          </cell>
        </row>
        <row r="65">
          <cell r="AO65">
            <v>393</v>
          </cell>
          <cell r="AP65">
            <v>200</v>
          </cell>
          <cell r="AQ65">
            <v>200</v>
          </cell>
        </row>
        <row r="66">
          <cell r="AO66">
            <v>10000</v>
          </cell>
          <cell r="AP66">
            <v>10000</v>
          </cell>
          <cell r="AQ66">
            <v>9897.4154299999991</v>
          </cell>
        </row>
        <row r="67">
          <cell r="AO67">
            <v>0</v>
          </cell>
          <cell r="AP67">
            <v>5540.05674</v>
          </cell>
          <cell r="AQ67">
            <v>5540.05674</v>
          </cell>
        </row>
        <row r="68">
          <cell r="AO68">
            <v>0</v>
          </cell>
          <cell r="AP68">
            <v>32214.81481</v>
          </cell>
          <cell r="AQ68">
            <v>32214.81481</v>
          </cell>
        </row>
        <row r="69">
          <cell r="AO69">
            <v>0</v>
          </cell>
          <cell r="AP69">
            <v>185185.18518999999</v>
          </cell>
          <cell r="AQ69">
            <v>185185.18518999999</v>
          </cell>
        </row>
        <row r="70">
          <cell r="AO70">
            <v>18410.5</v>
          </cell>
          <cell r="AP70">
            <v>17057.900000000001</v>
          </cell>
          <cell r="AQ70">
            <v>10774.311099999999</v>
          </cell>
        </row>
        <row r="71">
          <cell r="AO71">
            <v>55079.5</v>
          </cell>
        </row>
        <row r="72">
          <cell r="AO72">
            <v>17075.099999999999</v>
          </cell>
          <cell r="AP72">
            <v>17075.099999999999</v>
          </cell>
          <cell r="AQ72">
            <v>16968.897659999999</v>
          </cell>
        </row>
        <row r="73">
          <cell r="AO73">
            <v>5194.8999999999996</v>
          </cell>
          <cell r="AP73">
            <v>5194.8999999999996</v>
          </cell>
          <cell r="AQ73">
            <v>5194.8999999999996</v>
          </cell>
        </row>
        <row r="74">
          <cell r="AO74">
            <v>0</v>
          </cell>
          <cell r="AP74">
            <v>3296.7</v>
          </cell>
          <cell r="AQ74">
            <v>3296.7</v>
          </cell>
        </row>
        <row r="75">
          <cell r="AO75">
            <v>200</v>
          </cell>
          <cell r="AP75">
            <v>369.4</v>
          </cell>
          <cell r="AQ75">
            <v>369.38054</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e1"/>
      <sheetName val="Лист1"/>
    </sheetNames>
    <sheetDataSet>
      <sheetData sheetId="0">
        <row r="9">
          <cell r="S9">
            <v>9508</v>
          </cell>
          <cell r="T9">
            <v>27138</v>
          </cell>
          <cell r="U9">
            <v>20762</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целев показ"/>
      <sheetName val="осн мерп"/>
      <sheetName val="меры "/>
      <sheetName val="гос задания"/>
      <sheetName val="ресурсн обеспечен"/>
      <sheetName val="оценка ресурс обеспечения"/>
    </sheetNames>
    <sheetDataSet>
      <sheetData sheetId="0"/>
      <sheetData sheetId="1"/>
      <sheetData sheetId="2"/>
      <sheetData sheetId="3"/>
      <sheetData sheetId="4">
        <row r="23">
          <cell r="L23">
            <v>574983.19999999995</v>
          </cell>
        </row>
        <row r="92">
          <cell r="M92">
            <v>8503</v>
          </cell>
          <cell r="N92">
            <v>6590.2</v>
          </cell>
          <cell r="O92">
            <v>6919.71</v>
          </cell>
          <cell r="P92">
            <v>7265.6955000000007</v>
          </cell>
          <cell r="Q92">
            <v>7607.1831885000001</v>
          </cell>
        </row>
      </sheetData>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AE138"/>
  <sheetViews>
    <sheetView topLeftCell="A10" zoomScale="90" zoomScaleNormal="90" zoomScalePageLayoutView="80" workbookViewId="0">
      <selection activeCell="O22" sqref="O22"/>
    </sheetView>
  </sheetViews>
  <sheetFormatPr defaultColWidth="9.140625" defaultRowHeight="15.75"/>
  <cols>
    <col min="1" max="1" width="5.7109375" style="26" customWidth="1"/>
    <col min="2" max="2" width="6" style="26" customWidth="1"/>
    <col min="3" max="3" width="6.5703125" style="26" customWidth="1"/>
    <col min="4" max="4" width="9.42578125" style="18" customWidth="1"/>
    <col min="5" max="5" width="46.42578125" style="43" customWidth="1"/>
    <col min="6" max="6" width="31.5703125" style="43" customWidth="1"/>
    <col min="7" max="9" width="9.140625" style="26" customWidth="1"/>
    <col min="10" max="10" width="16.7109375" style="25" customWidth="1"/>
    <col min="11" max="11" width="9.140625" style="26" customWidth="1"/>
    <col min="12" max="12" width="14.28515625" style="13" hidden="1" customWidth="1"/>
    <col min="13" max="13" width="13.5703125" style="19" hidden="1" customWidth="1"/>
    <col min="14" max="15" width="13.5703125" style="19" customWidth="1"/>
    <col min="16" max="16" width="14" style="241" customWidth="1"/>
    <col min="17" max="17" width="16.140625" style="26" hidden="1" customWidth="1"/>
    <col min="18" max="18" width="14.5703125" style="56" customWidth="1"/>
    <col min="19" max="19" width="15.140625" style="56" customWidth="1"/>
    <col min="20" max="29" width="9.140625" style="26" customWidth="1"/>
    <col min="30" max="30" width="12.5703125" style="26" customWidth="1"/>
    <col min="31" max="31" width="18.140625" style="26" customWidth="1"/>
    <col min="32" max="16384" width="9.140625" style="26"/>
  </cols>
  <sheetData>
    <row r="1" spans="1:19" s="270" customFormat="1">
      <c r="E1" s="287"/>
      <c r="F1" s="288"/>
      <c r="L1" s="289"/>
      <c r="P1" s="290" t="s">
        <v>584</v>
      </c>
      <c r="R1" s="324"/>
      <c r="S1" s="324"/>
    </row>
    <row r="2" spans="1:19" s="270" customFormat="1">
      <c r="E2" s="287"/>
      <c r="F2" s="288"/>
      <c r="L2" s="289"/>
      <c r="P2" s="290" t="s">
        <v>654</v>
      </c>
      <c r="R2" s="324"/>
      <c r="S2" s="324"/>
    </row>
    <row r="3" spans="1:19" s="270" customFormat="1">
      <c r="E3" s="287"/>
      <c r="F3" s="288"/>
      <c r="L3" s="289"/>
      <c r="P3" s="290" t="s">
        <v>656</v>
      </c>
      <c r="R3" s="324"/>
      <c r="S3" s="324"/>
    </row>
    <row r="4" spans="1:19" s="270" customFormat="1">
      <c r="E4" s="287"/>
      <c r="F4" s="288"/>
      <c r="L4" s="289"/>
      <c r="P4" s="290" t="s">
        <v>612</v>
      </c>
      <c r="R4" s="324"/>
      <c r="S4" s="324"/>
    </row>
    <row r="5" spans="1:19" s="270" customFormat="1" ht="12.75">
      <c r="E5" s="287"/>
      <c r="F5" s="288"/>
      <c r="L5" s="289"/>
      <c r="P5" s="289"/>
      <c r="R5" s="324"/>
      <c r="S5" s="324"/>
    </row>
    <row r="6" spans="1:19" s="270" customFormat="1" ht="12.75">
      <c r="E6" s="287"/>
      <c r="F6" s="288"/>
      <c r="L6" s="289"/>
      <c r="P6" s="289"/>
      <c r="R6" s="324"/>
      <c r="S6" s="324"/>
    </row>
    <row r="7" spans="1:19" s="270" customFormat="1" ht="12.75">
      <c r="E7" s="287"/>
      <c r="F7" s="288"/>
      <c r="L7" s="289"/>
      <c r="P7" s="289"/>
      <c r="R7" s="324"/>
      <c r="S7" s="330" t="s">
        <v>665</v>
      </c>
    </row>
    <row r="8" spans="1:19" s="270" customFormat="1" ht="12.75">
      <c r="A8" s="528" t="s">
        <v>579</v>
      </c>
      <c r="B8" s="528"/>
      <c r="C8" s="528"/>
      <c r="D8" s="528"/>
      <c r="E8" s="528"/>
      <c r="F8" s="528"/>
      <c r="G8" s="528"/>
      <c r="H8" s="528"/>
      <c r="I8" s="528"/>
      <c r="J8" s="528"/>
      <c r="K8" s="528"/>
      <c r="L8" s="528"/>
      <c r="M8" s="528"/>
      <c r="N8" s="528"/>
      <c r="O8" s="528"/>
      <c r="P8" s="528"/>
      <c r="Q8" s="528"/>
      <c r="R8" s="528"/>
      <c r="S8" s="528"/>
    </row>
    <row r="9" spans="1:19" s="270" customFormat="1" ht="12.75">
      <c r="A9" s="528" t="s">
        <v>580</v>
      </c>
      <c r="B9" s="528"/>
      <c r="C9" s="528"/>
      <c r="D9" s="528"/>
      <c r="E9" s="528"/>
      <c r="F9" s="528"/>
      <c r="G9" s="528"/>
      <c r="H9" s="528"/>
      <c r="I9" s="528"/>
      <c r="J9" s="528"/>
      <c r="K9" s="528"/>
      <c r="L9" s="528"/>
      <c r="M9" s="528"/>
      <c r="N9" s="528"/>
      <c r="O9" s="528"/>
      <c r="P9" s="528"/>
      <c r="Q9" s="528"/>
      <c r="R9" s="528"/>
      <c r="S9" s="528"/>
    </row>
    <row r="10" spans="1:19" s="270" customFormat="1" ht="12.75">
      <c r="A10" s="528" t="s">
        <v>952</v>
      </c>
      <c r="B10" s="528"/>
      <c r="C10" s="528"/>
      <c r="D10" s="528"/>
      <c r="E10" s="528"/>
      <c r="F10" s="528"/>
      <c r="G10" s="528"/>
      <c r="H10" s="528"/>
      <c r="I10" s="528"/>
      <c r="J10" s="528"/>
      <c r="K10" s="528"/>
      <c r="L10" s="528"/>
      <c r="M10" s="528"/>
      <c r="N10" s="528"/>
      <c r="O10" s="528"/>
      <c r="P10" s="528"/>
      <c r="Q10" s="528"/>
      <c r="R10" s="528"/>
      <c r="S10" s="528"/>
    </row>
    <row r="11" spans="1:19" s="270" customFormat="1" ht="12.75">
      <c r="E11" s="287"/>
      <c r="F11" s="288"/>
      <c r="L11" s="289"/>
      <c r="M11" s="289"/>
      <c r="N11" s="289"/>
      <c r="O11" s="289"/>
      <c r="P11" s="289"/>
      <c r="R11" s="324"/>
      <c r="S11" s="324"/>
    </row>
    <row r="12" spans="1:19" s="270" customFormat="1" ht="12.75">
      <c r="A12" s="528" t="s">
        <v>581</v>
      </c>
      <c r="B12" s="528"/>
      <c r="C12" s="528"/>
      <c r="D12" s="528"/>
      <c r="E12" s="528"/>
      <c r="F12" s="528"/>
      <c r="G12" s="528"/>
      <c r="H12" s="528"/>
      <c r="I12" s="528"/>
      <c r="J12" s="528"/>
      <c r="K12" s="528"/>
      <c r="L12" s="528"/>
      <c r="M12" s="528"/>
      <c r="N12" s="528"/>
      <c r="O12" s="528"/>
      <c r="P12" s="528"/>
      <c r="Q12" s="528"/>
      <c r="R12" s="528"/>
      <c r="S12" s="528"/>
    </row>
    <row r="13" spans="1:19" s="270" customFormat="1" ht="13.5" customHeight="1">
      <c r="A13" s="528" t="s">
        <v>582</v>
      </c>
      <c r="B13" s="528"/>
      <c r="C13" s="528"/>
      <c r="D13" s="528"/>
      <c r="E13" s="528"/>
      <c r="F13" s="528"/>
      <c r="G13" s="528"/>
      <c r="H13" s="528"/>
      <c r="I13" s="528"/>
      <c r="J13" s="528"/>
      <c r="K13" s="528"/>
      <c r="L13" s="528"/>
      <c r="M13" s="528"/>
      <c r="N13" s="528"/>
      <c r="O13" s="528"/>
      <c r="P13" s="528"/>
      <c r="Q13" s="528"/>
      <c r="R13" s="528"/>
      <c r="S13" s="528"/>
    </row>
    <row r="14" spans="1:19" s="270" customFormat="1" ht="12.75">
      <c r="A14" s="270" t="s">
        <v>583</v>
      </c>
      <c r="E14" s="287"/>
      <c r="F14" s="288"/>
      <c r="L14" s="289"/>
      <c r="M14" s="289"/>
      <c r="N14" s="289"/>
      <c r="O14" s="289"/>
      <c r="P14" s="289"/>
      <c r="R14" s="324"/>
      <c r="S14" s="324"/>
    </row>
    <row r="15" spans="1:19" s="270" customFormat="1" ht="12.75">
      <c r="E15" s="287"/>
      <c r="F15" s="288"/>
      <c r="L15" s="289"/>
      <c r="M15" s="289"/>
      <c r="N15" s="289"/>
      <c r="O15" s="289"/>
      <c r="P15" s="289"/>
      <c r="R15" s="324"/>
      <c r="S15" s="324"/>
    </row>
    <row r="16" spans="1:19" s="270" customFormat="1" ht="12.75">
      <c r="A16" s="522" t="s">
        <v>611</v>
      </c>
      <c r="B16" s="522"/>
      <c r="C16" s="522"/>
      <c r="D16" s="522"/>
      <c r="E16" s="522"/>
      <c r="F16" s="522"/>
      <c r="G16" s="522"/>
      <c r="H16" s="522"/>
      <c r="I16" s="522"/>
      <c r="J16" s="522"/>
      <c r="K16" s="522"/>
      <c r="L16" s="522"/>
      <c r="M16" s="522"/>
      <c r="N16" s="522"/>
      <c r="O16" s="522"/>
      <c r="P16" s="522"/>
      <c r="R16" s="324"/>
      <c r="S16" s="324"/>
    </row>
    <row r="17" spans="1:31">
      <c r="A17" s="25"/>
      <c r="B17" s="25"/>
      <c r="C17" s="25"/>
      <c r="E17" s="47"/>
      <c r="F17" s="47"/>
      <c r="G17" s="9"/>
      <c r="H17" s="9"/>
      <c r="I17" s="9"/>
      <c r="J17" s="23"/>
      <c r="K17" s="9"/>
      <c r="P17" s="19"/>
    </row>
    <row r="18" spans="1:31">
      <c r="A18" s="25"/>
      <c r="B18" s="25"/>
      <c r="C18" s="25"/>
      <c r="E18" s="47"/>
      <c r="F18" s="47"/>
      <c r="G18" s="9"/>
      <c r="H18" s="9"/>
      <c r="I18" s="9"/>
      <c r="J18" s="23"/>
      <c r="K18" s="9"/>
      <c r="P18" s="19"/>
    </row>
    <row r="19" spans="1:31" s="318" customFormat="1" ht="34.5" customHeight="1">
      <c r="A19" s="495" t="s">
        <v>3</v>
      </c>
      <c r="B19" s="495"/>
      <c r="C19" s="495"/>
      <c r="D19" s="495"/>
      <c r="E19" s="496" t="s">
        <v>41</v>
      </c>
      <c r="F19" s="498" t="s">
        <v>62</v>
      </c>
      <c r="G19" s="499" t="s">
        <v>42</v>
      </c>
      <c r="H19" s="499"/>
      <c r="I19" s="499"/>
      <c r="J19" s="499"/>
      <c r="K19" s="499"/>
      <c r="L19" s="500" t="s">
        <v>510</v>
      </c>
      <c r="M19" s="500"/>
      <c r="N19" s="500"/>
      <c r="O19" s="500"/>
      <c r="P19" s="500"/>
      <c r="R19" s="494" t="s">
        <v>605</v>
      </c>
      <c r="S19" s="494"/>
    </row>
    <row r="20" spans="1:31" s="318" customFormat="1" ht="77.25" customHeight="1">
      <c r="A20" s="314" t="s">
        <v>4</v>
      </c>
      <c r="B20" s="314" t="s">
        <v>5</v>
      </c>
      <c r="C20" s="314" t="s">
        <v>12</v>
      </c>
      <c r="D20" s="315" t="s">
        <v>13</v>
      </c>
      <c r="E20" s="497"/>
      <c r="F20" s="498"/>
      <c r="G20" s="390" t="s">
        <v>43</v>
      </c>
      <c r="H20" s="390" t="s">
        <v>44</v>
      </c>
      <c r="I20" s="316" t="s">
        <v>45</v>
      </c>
      <c r="J20" s="316" t="s">
        <v>46</v>
      </c>
      <c r="K20" s="390" t="s">
        <v>47</v>
      </c>
      <c r="L20" s="391" t="s">
        <v>39</v>
      </c>
      <c r="M20" s="391" t="s">
        <v>83</v>
      </c>
      <c r="N20" s="317" t="s">
        <v>608</v>
      </c>
      <c r="O20" s="317" t="s">
        <v>609</v>
      </c>
      <c r="P20" s="317" t="s">
        <v>610</v>
      </c>
      <c r="R20" s="389" t="s">
        <v>606</v>
      </c>
      <c r="S20" s="389" t="s">
        <v>607</v>
      </c>
    </row>
    <row r="21" spans="1:31" ht="15">
      <c r="A21" s="507" t="s">
        <v>110</v>
      </c>
      <c r="B21" s="509"/>
      <c r="C21" s="509"/>
      <c r="D21" s="511"/>
      <c r="E21" s="513" t="s">
        <v>498</v>
      </c>
      <c r="F21" s="320" t="s">
        <v>48</v>
      </c>
      <c r="G21" s="271"/>
      <c r="H21" s="271"/>
      <c r="I21" s="321"/>
      <c r="J21" s="321"/>
      <c r="K21" s="271"/>
      <c r="L21" s="322" t="e">
        <f>L22+#REF!+L23+#REF!+#REF!+#REF!</f>
        <v>#REF!</v>
      </c>
      <c r="M21" s="322" t="e">
        <f>M22+#REF!+M23+#REF!+#REF!+#REF!+#REF!-0.1</f>
        <v>#REF!</v>
      </c>
      <c r="N21" s="322">
        <f t="shared" ref="N21:P21" si="0">N22+N23</f>
        <v>7379478.3999999994</v>
      </c>
      <c r="O21" s="322">
        <f t="shared" si="0"/>
        <v>7840924.4289699988</v>
      </c>
      <c r="P21" s="322">
        <f t="shared" si="0"/>
        <v>7739698.1574299997</v>
      </c>
      <c r="Q21" s="323" t="e">
        <f>L21+M21+P21+#REF!+#REF!+#REF!+#REF!</f>
        <v>#REF!</v>
      </c>
      <c r="R21" s="322">
        <f>P21/N21%</f>
        <v>104.88137152661088</v>
      </c>
      <c r="S21" s="322">
        <f>P21/O21%</f>
        <v>98.709000801410653</v>
      </c>
      <c r="AE21" s="56"/>
    </row>
    <row r="22" spans="1:31" ht="25.5">
      <c r="A22" s="508"/>
      <c r="B22" s="510"/>
      <c r="C22" s="510"/>
      <c r="D22" s="512"/>
      <c r="E22" s="514"/>
      <c r="F22" s="320" t="s">
        <v>955</v>
      </c>
      <c r="G22" s="271">
        <v>843</v>
      </c>
      <c r="H22" s="271"/>
      <c r="I22" s="321"/>
      <c r="J22" s="321"/>
      <c r="K22" s="271"/>
      <c r="L22" s="322" t="e">
        <f>L25+L68+L98+L125</f>
        <v>#REF!</v>
      </c>
      <c r="M22" s="322" t="e">
        <f>M25+M68+M98+M125</f>
        <v>#REF!</v>
      </c>
      <c r="N22" s="322">
        <f>N25+N68+N98+N125</f>
        <v>7338018.3999999994</v>
      </c>
      <c r="O22" s="322">
        <f t="shared" ref="O22:P22" si="1">O25+O68+O98+O125</f>
        <v>7813527.9289699988</v>
      </c>
      <c r="P22" s="322">
        <f t="shared" si="1"/>
        <v>7715692.4569299994</v>
      </c>
      <c r="Q22" s="323" t="e">
        <f>L22+M22+P22+#REF!+#REF!+#REF!+#REF!</f>
        <v>#REF!</v>
      </c>
      <c r="R22" s="322">
        <f>P22/N22%</f>
        <v>105.14681261810409</v>
      </c>
      <c r="S22" s="322">
        <f>P22/O22%</f>
        <v>98.747870706684779</v>
      </c>
    </row>
    <row r="23" spans="1:31" ht="25.5">
      <c r="A23" s="508"/>
      <c r="B23" s="510"/>
      <c r="C23" s="510"/>
      <c r="D23" s="512"/>
      <c r="E23" s="514"/>
      <c r="F23" s="320" t="s">
        <v>120</v>
      </c>
      <c r="G23" s="271">
        <v>855</v>
      </c>
      <c r="H23" s="271"/>
      <c r="I23" s="321"/>
      <c r="J23" s="321"/>
      <c r="K23" s="271"/>
      <c r="L23" s="322" t="e">
        <f>L69+#REF!</f>
        <v>#REF!</v>
      </c>
      <c r="M23" s="322" t="e">
        <f>M69+#REF!</f>
        <v>#REF!</v>
      </c>
      <c r="N23" s="322">
        <f>N69</f>
        <v>41460</v>
      </c>
      <c r="O23" s="322">
        <f t="shared" ref="O23:P23" si="2">O69</f>
        <v>27396.5</v>
      </c>
      <c r="P23" s="322">
        <f t="shared" si="2"/>
        <v>24005.700499999999</v>
      </c>
      <c r="Q23" s="323" t="e">
        <f>L23+M23+P23+#REF!+#REF!+#REF!+#REF!</f>
        <v>#REF!</v>
      </c>
      <c r="R23" s="322">
        <v>0</v>
      </c>
      <c r="S23" s="322">
        <v>0</v>
      </c>
    </row>
    <row r="24" spans="1:31" ht="15" customHeight="1">
      <c r="A24" s="501" t="s">
        <v>110</v>
      </c>
      <c r="B24" s="501" t="s">
        <v>99</v>
      </c>
      <c r="C24" s="501"/>
      <c r="D24" s="503"/>
      <c r="E24" s="505" t="s">
        <v>60</v>
      </c>
      <c r="F24" s="1" t="s">
        <v>48</v>
      </c>
      <c r="G24" s="6" t="s">
        <v>49</v>
      </c>
      <c r="H24" s="6"/>
      <c r="I24" s="8"/>
      <c r="J24" s="8"/>
      <c r="K24" s="6"/>
      <c r="L24" s="30" t="e">
        <f t="shared" ref="L24:M24" si="3">L25</f>
        <v>#REF!</v>
      </c>
      <c r="M24" s="30" t="e">
        <f t="shared" si="3"/>
        <v>#REF!</v>
      </c>
      <c r="N24" s="30">
        <f>N25</f>
        <v>3391715.7999999993</v>
      </c>
      <c r="O24" s="30">
        <f t="shared" ref="O24:Q24" si="4">O25</f>
        <v>3663320.3222299996</v>
      </c>
      <c r="P24" s="30">
        <f t="shared" si="4"/>
        <v>3659543.8337000003</v>
      </c>
      <c r="Q24" s="30" t="e">
        <f t="shared" si="4"/>
        <v>#REF!</v>
      </c>
      <c r="R24" s="30">
        <f t="shared" ref="R24:R86" si="5">P24/N24%</f>
        <v>107.89653524920929</v>
      </c>
      <c r="S24" s="30">
        <f t="shared" ref="S24:S86" si="6">P24/O24%</f>
        <v>99.896910774985116</v>
      </c>
    </row>
    <row r="25" spans="1:31" ht="38.25">
      <c r="A25" s="502"/>
      <c r="B25" s="502"/>
      <c r="C25" s="502"/>
      <c r="D25" s="504"/>
      <c r="E25" s="506"/>
      <c r="F25" s="1" t="s">
        <v>956</v>
      </c>
      <c r="G25" s="6">
        <v>843</v>
      </c>
      <c r="H25" s="6">
        <v>10</v>
      </c>
      <c r="I25" s="8" t="s">
        <v>8</v>
      </c>
      <c r="J25" s="8" t="s">
        <v>195</v>
      </c>
      <c r="K25" s="286"/>
      <c r="L25" s="30" t="e">
        <f>L26+L48+L50+L52+L54</f>
        <v>#REF!</v>
      </c>
      <c r="M25" s="30" t="e">
        <f>M26+M48+M50+M52+M54+#REF!+#REF!+#REF!+#REF!</f>
        <v>#REF!</v>
      </c>
      <c r="N25" s="30">
        <f>N26+N48+N54</f>
        <v>3391715.7999999993</v>
      </c>
      <c r="O25" s="30">
        <f t="shared" ref="O25:Q25" si="7">O26+O48+O54</f>
        <v>3663320.3222299996</v>
      </c>
      <c r="P25" s="30">
        <f t="shared" si="7"/>
        <v>3659543.8337000003</v>
      </c>
      <c r="Q25" s="30" t="e">
        <f t="shared" si="7"/>
        <v>#REF!</v>
      </c>
      <c r="R25" s="30">
        <f t="shared" si="5"/>
        <v>107.89653524920929</v>
      </c>
      <c r="S25" s="30">
        <f t="shared" si="6"/>
        <v>99.896910774985116</v>
      </c>
    </row>
    <row r="26" spans="1:31" ht="51">
      <c r="A26" s="396" t="s">
        <v>110</v>
      </c>
      <c r="B26" s="396" t="s">
        <v>99</v>
      </c>
      <c r="C26" s="396" t="s">
        <v>7</v>
      </c>
      <c r="D26" s="396"/>
      <c r="E26" s="55" t="s">
        <v>194</v>
      </c>
      <c r="F26" s="1" t="s">
        <v>956</v>
      </c>
      <c r="G26" s="6">
        <v>843</v>
      </c>
      <c r="H26" s="286">
        <v>10</v>
      </c>
      <c r="I26" s="7" t="s">
        <v>8</v>
      </c>
      <c r="J26" s="7" t="s">
        <v>488</v>
      </c>
      <c r="K26" s="286" t="s">
        <v>471</v>
      </c>
      <c r="L26" s="30" t="e">
        <f>L27+L28+L29+L30+L31+L32+L33+L34+L35+L36+L37+L38+L39+L40+L41+L42+L43+L44+L45+#REF!+#REF!+#REF!+#REF!+#REF!+#REF!+#REF!</f>
        <v>#REF!</v>
      </c>
      <c r="M26" s="30">
        <v>3647715.5</v>
      </c>
      <c r="N26" s="30">
        <f t="shared" ref="N26:O26" si="8">N27+N28+N29+N30+N31+N32+N33+N34+N35+N36+N37+N38+N39+N40+N41+N42+N43+N44+N45+N46+N47</f>
        <v>3378754.9999999995</v>
      </c>
      <c r="O26" s="30">
        <f t="shared" si="8"/>
        <v>3651533.3899999997</v>
      </c>
      <c r="P26" s="30">
        <f>P27+P28+P29+P30+P31+P32+P33+P34+P35+P36+P37+P38+P39+P40+P41+P42+P43+P44+P45+P46+P47</f>
        <v>3647756.9014700004</v>
      </c>
      <c r="Q26" s="56" t="e">
        <f>L26+M26+P26+#REF!+#REF!+#REF!+#REF!</f>
        <v>#REF!</v>
      </c>
      <c r="R26" s="30">
        <f t="shared" si="5"/>
        <v>107.96156872783024</v>
      </c>
      <c r="S26" s="30">
        <f t="shared" si="6"/>
        <v>99.89657800910868</v>
      </c>
    </row>
    <row r="27" spans="1:31" ht="38.25" customHeight="1">
      <c r="A27" s="404" t="s">
        <v>110</v>
      </c>
      <c r="B27" s="404" t="s">
        <v>7</v>
      </c>
      <c r="C27" s="404" t="s">
        <v>7</v>
      </c>
      <c r="D27" s="8" t="s">
        <v>7</v>
      </c>
      <c r="E27" s="397" t="s">
        <v>193</v>
      </c>
      <c r="F27" s="1" t="s">
        <v>956</v>
      </c>
      <c r="G27" s="392">
        <v>843</v>
      </c>
      <c r="H27" s="282">
        <v>10</v>
      </c>
      <c r="I27" s="284" t="s">
        <v>9</v>
      </c>
      <c r="J27" s="7" t="s">
        <v>627</v>
      </c>
      <c r="K27" s="6" t="s">
        <v>370</v>
      </c>
      <c r="L27" s="30">
        <v>566382</v>
      </c>
      <c r="M27" s="32">
        <v>620409.69999999995</v>
      </c>
      <c r="N27" s="32">
        <f>'[1]без учета счетов бюджета'!$AN$18</f>
        <v>620409.69999999995</v>
      </c>
      <c r="O27" s="32">
        <f>'[1]без учета счетов бюджета'!$AO$18</f>
        <v>652511.6</v>
      </c>
      <c r="P27" s="32">
        <f>'[1]без учета счетов бюджета'!$AP$18</f>
        <v>652511.16500000004</v>
      </c>
      <c r="Q27" s="56" t="e">
        <f>L27+M27+P27+#REF!+#REF!+#REF!+#REF!</f>
        <v>#REF!</v>
      </c>
      <c r="R27" s="30">
        <f t="shared" si="5"/>
        <v>105.17423647631558</v>
      </c>
      <c r="S27" s="30">
        <f t="shared" si="6"/>
        <v>99.999933334518502</v>
      </c>
    </row>
    <row r="28" spans="1:31" ht="38.25" customHeight="1">
      <c r="A28" s="404" t="s">
        <v>110</v>
      </c>
      <c r="B28" s="404" t="s">
        <v>7</v>
      </c>
      <c r="C28" s="404" t="s">
        <v>7</v>
      </c>
      <c r="D28" s="8" t="s">
        <v>8</v>
      </c>
      <c r="E28" s="397" t="s">
        <v>197</v>
      </c>
      <c r="F28" s="1" t="s">
        <v>956</v>
      </c>
      <c r="G28" s="392">
        <v>843</v>
      </c>
      <c r="H28" s="282">
        <v>10</v>
      </c>
      <c r="I28" s="284" t="s">
        <v>9</v>
      </c>
      <c r="J28" s="7" t="s">
        <v>628</v>
      </c>
      <c r="K28" s="6" t="s">
        <v>370</v>
      </c>
      <c r="L28" s="30">
        <v>87560.5</v>
      </c>
      <c r="M28" s="32">
        <f>82513.5-525.6</f>
        <v>81987.899999999994</v>
      </c>
      <c r="N28" s="32">
        <f>'[1]без учета счетов бюджета'!$AN$15</f>
        <v>74179.100000000006</v>
      </c>
      <c r="O28" s="32">
        <f>'[1]без учета счетов бюджета'!$AO$15</f>
        <v>70626.816000000006</v>
      </c>
      <c r="P28" s="32">
        <f>'[1]без учета счетов бюджета'!$AP$15</f>
        <v>70626.816000000006</v>
      </c>
      <c r="Q28" s="56" t="e">
        <f>L28+M28+P28+#REF!+#REF!+#REF!+#REF!</f>
        <v>#REF!</v>
      </c>
      <c r="R28" s="30">
        <f t="shared" si="5"/>
        <v>95.211206391018493</v>
      </c>
      <c r="S28" s="30">
        <f t="shared" si="6"/>
        <v>100</v>
      </c>
    </row>
    <row r="29" spans="1:31" ht="38.25" customHeight="1">
      <c r="A29" s="404" t="s">
        <v>110</v>
      </c>
      <c r="B29" s="404" t="s">
        <v>7</v>
      </c>
      <c r="C29" s="404" t="s">
        <v>7</v>
      </c>
      <c r="D29" s="8" t="s">
        <v>9</v>
      </c>
      <c r="E29" s="397" t="s">
        <v>199</v>
      </c>
      <c r="F29" s="1" t="s">
        <v>956</v>
      </c>
      <c r="G29" s="392">
        <v>843</v>
      </c>
      <c r="H29" s="282">
        <v>10</v>
      </c>
      <c r="I29" s="284" t="s">
        <v>9</v>
      </c>
      <c r="J29" s="7" t="s">
        <v>630</v>
      </c>
      <c r="K29" s="6" t="s">
        <v>370</v>
      </c>
      <c r="L29" s="30">
        <v>8763.9</v>
      </c>
      <c r="M29" s="32">
        <f>9141.1-125</f>
        <v>9016.1</v>
      </c>
      <c r="N29" s="32">
        <f>'[1]без учета счетов бюджета'!$AN$19</f>
        <v>8711.4</v>
      </c>
      <c r="O29" s="32">
        <f>'[1]без учета счетов бюджета'!$AO$19</f>
        <v>8455</v>
      </c>
      <c r="P29" s="30">
        <f>'[1]без учета счетов бюджета'!$AP$19</f>
        <v>8455</v>
      </c>
      <c r="Q29" s="56" t="e">
        <f>L29+M29+P29+#REF!+#REF!+#REF!+#REF!</f>
        <v>#REF!</v>
      </c>
      <c r="R29" s="30">
        <f t="shared" si="5"/>
        <v>97.05673026149644</v>
      </c>
      <c r="S29" s="30">
        <f t="shared" si="6"/>
        <v>100</v>
      </c>
    </row>
    <row r="30" spans="1:31" ht="38.25" customHeight="1">
      <c r="A30" s="404" t="s">
        <v>110</v>
      </c>
      <c r="B30" s="404" t="s">
        <v>7</v>
      </c>
      <c r="C30" s="404" t="s">
        <v>7</v>
      </c>
      <c r="D30" s="8" t="s">
        <v>10</v>
      </c>
      <c r="E30" s="397" t="s">
        <v>201</v>
      </c>
      <c r="F30" s="1" t="s">
        <v>956</v>
      </c>
      <c r="G30" s="392">
        <v>843</v>
      </c>
      <c r="H30" s="282">
        <v>10</v>
      </c>
      <c r="I30" s="284" t="s">
        <v>9</v>
      </c>
      <c r="J30" s="7" t="s">
        <v>629</v>
      </c>
      <c r="K30" s="6" t="s">
        <v>370</v>
      </c>
      <c r="L30" s="30">
        <v>1275749</v>
      </c>
      <c r="M30" s="32">
        <v>1385488.9</v>
      </c>
      <c r="N30" s="32">
        <f>'[1]без учета счетов бюджета'!$AN$14</f>
        <v>1273990.3</v>
      </c>
      <c r="O30" s="32">
        <f>'[1]без учета счетов бюджета'!$AO$14</f>
        <v>1416168</v>
      </c>
      <c r="P30" s="30">
        <f>'[1]без учета счетов бюджета'!$AP$14</f>
        <v>1416167.9860699999</v>
      </c>
      <c r="Q30" s="56" t="e">
        <f>L30+M30+P30+#REF!+#REF!+#REF!+#REF!</f>
        <v>#REF!</v>
      </c>
      <c r="R30" s="30">
        <f t="shared" si="5"/>
        <v>111.16002893193142</v>
      </c>
      <c r="S30" s="30">
        <f t="shared" si="6"/>
        <v>99.999999016359624</v>
      </c>
    </row>
    <row r="31" spans="1:31" ht="38.25" customHeight="1">
      <c r="A31" s="404" t="s">
        <v>110</v>
      </c>
      <c r="B31" s="404" t="s">
        <v>7</v>
      </c>
      <c r="C31" s="404" t="s">
        <v>7</v>
      </c>
      <c r="D31" s="8" t="s">
        <v>33</v>
      </c>
      <c r="E31" s="397" t="s">
        <v>203</v>
      </c>
      <c r="F31" s="1" t="s">
        <v>956</v>
      </c>
      <c r="G31" s="392">
        <v>843</v>
      </c>
      <c r="H31" s="282">
        <v>10</v>
      </c>
      <c r="I31" s="284" t="s">
        <v>9</v>
      </c>
      <c r="J31" s="7" t="s">
        <v>631</v>
      </c>
      <c r="K31" s="6" t="s">
        <v>370</v>
      </c>
      <c r="L31" s="30">
        <v>12016.2</v>
      </c>
      <c r="M31" s="32">
        <f>14724.6-535.5</f>
        <v>14189.1</v>
      </c>
      <c r="N31" s="32">
        <f>'[1]без учета счетов бюджета'!$AN$16</f>
        <v>13321</v>
      </c>
      <c r="O31" s="32">
        <f>'[1]без учета счетов бюджета'!$AO$16</f>
        <v>13121</v>
      </c>
      <c r="P31" s="30">
        <f>'[1]без учета счетов бюджета'!$AP$16</f>
        <v>12938.48775</v>
      </c>
      <c r="Q31" s="56" t="e">
        <f>L31+M31+P31+#REF!+#REF!+#REF!+#REF!</f>
        <v>#REF!</v>
      </c>
      <c r="R31" s="30">
        <f t="shared" si="5"/>
        <v>97.128501989340137</v>
      </c>
      <c r="S31" s="30">
        <f t="shared" si="6"/>
        <v>98.609006554378468</v>
      </c>
    </row>
    <row r="32" spans="1:31" ht="38.25" customHeight="1">
      <c r="A32" s="404" t="s">
        <v>110</v>
      </c>
      <c r="B32" s="404" t="s">
        <v>7</v>
      </c>
      <c r="C32" s="404" t="s">
        <v>7</v>
      </c>
      <c r="D32" s="8" t="s">
        <v>25</v>
      </c>
      <c r="E32" s="405" t="s">
        <v>206</v>
      </c>
      <c r="F32" s="1" t="s">
        <v>956</v>
      </c>
      <c r="G32" s="6">
        <v>843</v>
      </c>
      <c r="H32" s="286">
        <v>10</v>
      </c>
      <c r="I32" s="7" t="s">
        <v>9</v>
      </c>
      <c r="J32" s="7" t="s">
        <v>632</v>
      </c>
      <c r="K32" s="286" t="s">
        <v>371</v>
      </c>
      <c r="L32" s="30">
        <v>1218646.2</v>
      </c>
      <c r="M32" s="31">
        <v>1186824.3999999999</v>
      </c>
      <c r="N32" s="31">
        <f>'[1]без учета счетов бюджета'!$AN$26</f>
        <v>1123999.8</v>
      </c>
      <c r="O32" s="31">
        <f>'[1]без учета счетов бюджета'!$AO$26</f>
        <v>1223664.1000000001</v>
      </c>
      <c r="P32" s="30">
        <f>'[1]без учета счетов бюджета'!$AP$26</f>
        <v>1223658.33556</v>
      </c>
      <c r="Q32" s="56" t="e">
        <f>L32+M32+P32+#REF!+#REF!+#REF!+#REF!</f>
        <v>#REF!</v>
      </c>
      <c r="R32" s="30">
        <f t="shared" si="5"/>
        <v>108.86641933210309</v>
      </c>
      <c r="S32" s="30">
        <f t="shared" si="6"/>
        <v>99.999528919741934</v>
      </c>
    </row>
    <row r="33" spans="1:20" ht="38.25" customHeight="1">
      <c r="A33" s="404" t="s">
        <v>110</v>
      </c>
      <c r="B33" s="404" t="s">
        <v>7</v>
      </c>
      <c r="C33" s="404" t="s">
        <v>7</v>
      </c>
      <c r="D33" s="8" t="s">
        <v>6</v>
      </c>
      <c r="E33" s="405" t="s">
        <v>207</v>
      </c>
      <c r="F33" s="1" t="s">
        <v>956</v>
      </c>
      <c r="G33" s="6">
        <v>843</v>
      </c>
      <c r="H33" s="286">
        <v>10</v>
      </c>
      <c r="I33" s="7" t="s">
        <v>9</v>
      </c>
      <c r="J33" s="7" t="s">
        <v>633</v>
      </c>
      <c r="K33" s="286" t="s">
        <v>370</v>
      </c>
      <c r="L33" s="30">
        <v>52797.4</v>
      </c>
      <c r="M33" s="31">
        <v>53070.2</v>
      </c>
      <c r="N33" s="31">
        <f>'[1]без учета счетов бюджета'!$AN$24</f>
        <v>55434.400000000001</v>
      </c>
      <c r="O33" s="31">
        <f>'[1]без учета счетов бюджета'!$AO$24</f>
        <v>57944.800000000003</v>
      </c>
      <c r="P33" s="30">
        <f>'[1]без учета счетов бюджета'!$AP$24</f>
        <v>57838.055970000001</v>
      </c>
      <c r="Q33" s="56" t="e">
        <f>L33+M33+P33+#REF!+#REF!+#REF!+#REF!</f>
        <v>#REF!</v>
      </c>
      <c r="R33" s="30">
        <f t="shared" si="5"/>
        <v>104.33603677499892</v>
      </c>
      <c r="S33" s="30">
        <f t="shared" si="6"/>
        <v>99.815783245433593</v>
      </c>
    </row>
    <row r="34" spans="1:20" ht="38.25" customHeight="1">
      <c r="A34" s="404" t="s">
        <v>110</v>
      </c>
      <c r="B34" s="404" t="s">
        <v>7</v>
      </c>
      <c r="C34" s="404" t="s">
        <v>7</v>
      </c>
      <c r="D34" s="8" t="s">
        <v>34</v>
      </c>
      <c r="E34" s="397" t="s">
        <v>209</v>
      </c>
      <c r="F34" s="1" t="s">
        <v>956</v>
      </c>
      <c r="G34" s="392">
        <v>843</v>
      </c>
      <c r="H34" s="282">
        <v>10</v>
      </c>
      <c r="I34" s="284" t="s">
        <v>9</v>
      </c>
      <c r="J34" s="7" t="s">
        <v>210</v>
      </c>
      <c r="K34" s="6">
        <v>320</v>
      </c>
      <c r="L34" s="30"/>
      <c r="M34" s="32">
        <v>10000</v>
      </c>
      <c r="N34" s="32">
        <f>'[1]без учета счетов бюджета'!$AN$10</f>
        <v>10000</v>
      </c>
      <c r="O34" s="32">
        <f>'[1]без учета счетов бюджета'!$AO$10</f>
        <v>10000</v>
      </c>
      <c r="P34" s="30">
        <f>'[1]без учета счетов бюджета'!$AP$10</f>
        <v>10000</v>
      </c>
      <c r="Q34" s="56" t="e">
        <f>L34+M34+P34+#REF!+#REF!+#REF!+#REF!</f>
        <v>#REF!</v>
      </c>
      <c r="R34" s="30">
        <f t="shared" si="5"/>
        <v>100</v>
      </c>
      <c r="S34" s="30">
        <f t="shared" si="6"/>
        <v>100</v>
      </c>
    </row>
    <row r="35" spans="1:20" ht="38.25" customHeight="1">
      <c r="A35" s="404" t="s">
        <v>110</v>
      </c>
      <c r="B35" s="404" t="s">
        <v>7</v>
      </c>
      <c r="C35" s="404" t="s">
        <v>7</v>
      </c>
      <c r="D35" s="8" t="s">
        <v>35</v>
      </c>
      <c r="E35" s="397" t="s">
        <v>211</v>
      </c>
      <c r="F35" s="1" t="s">
        <v>956</v>
      </c>
      <c r="G35" s="392">
        <v>843</v>
      </c>
      <c r="H35" s="282">
        <v>10</v>
      </c>
      <c r="I35" s="284" t="s">
        <v>9</v>
      </c>
      <c r="J35" s="7" t="s">
        <v>634</v>
      </c>
      <c r="K35" s="6">
        <v>310</v>
      </c>
      <c r="L35" s="30">
        <v>6127.1</v>
      </c>
      <c r="M35" s="32">
        <v>7758</v>
      </c>
      <c r="N35" s="32">
        <f>'[1]без учета счетов бюджета'!$AN$11</f>
        <v>7758</v>
      </c>
      <c r="O35" s="32">
        <f>'[1]без учета счетов бюджета'!$AO$11</f>
        <v>6320.1840000000002</v>
      </c>
      <c r="P35" s="30">
        <f>'[1]без учета счетов бюджета'!$AP$11</f>
        <v>6320.1840000000002</v>
      </c>
      <c r="Q35" s="56" t="e">
        <f>L35+M35+P35+#REF!+#REF!+#REF!+#REF!</f>
        <v>#REF!</v>
      </c>
      <c r="R35" s="30">
        <f t="shared" si="5"/>
        <v>81.466666666666669</v>
      </c>
      <c r="S35" s="30">
        <f t="shared" si="6"/>
        <v>100</v>
      </c>
    </row>
    <row r="36" spans="1:20" ht="38.25" customHeight="1">
      <c r="A36" s="404" t="s">
        <v>110</v>
      </c>
      <c r="B36" s="404" t="s">
        <v>7</v>
      </c>
      <c r="C36" s="404" t="s">
        <v>7</v>
      </c>
      <c r="D36" s="8" t="s">
        <v>51</v>
      </c>
      <c r="E36" s="397" t="s">
        <v>213</v>
      </c>
      <c r="F36" s="1" t="s">
        <v>956</v>
      </c>
      <c r="G36" s="392">
        <v>843</v>
      </c>
      <c r="H36" s="282">
        <v>10</v>
      </c>
      <c r="I36" s="284" t="s">
        <v>9</v>
      </c>
      <c r="J36" s="7" t="s">
        <v>214</v>
      </c>
      <c r="K36" s="6" t="s">
        <v>370</v>
      </c>
      <c r="L36" s="30"/>
      <c r="M36" s="32">
        <f>23051.2-5618</f>
        <v>17433.2</v>
      </c>
      <c r="N36" s="32">
        <f>'[1]без учета счетов бюджета'!$AN$9</f>
        <v>20066.8</v>
      </c>
      <c r="O36" s="32">
        <f>'[1]без учета счетов бюджета'!$AO$9</f>
        <v>14950</v>
      </c>
      <c r="P36" s="30">
        <f>'[1]без учета счетов бюджета'!$AP$9</f>
        <v>14509.793730000001</v>
      </c>
      <c r="Q36" s="56" t="e">
        <f>L36+M36+P36+#REF!+#REF!+#REF!+#REF!</f>
        <v>#REF!</v>
      </c>
      <c r="R36" s="30">
        <f t="shared" si="5"/>
        <v>72.30746172782905</v>
      </c>
      <c r="S36" s="30">
        <f t="shared" si="6"/>
        <v>97.055476454849511</v>
      </c>
    </row>
    <row r="37" spans="1:20" ht="38.25" customHeight="1">
      <c r="A37" s="404" t="s">
        <v>110</v>
      </c>
      <c r="B37" s="404" t="s">
        <v>7</v>
      </c>
      <c r="C37" s="404" t="s">
        <v>7</v>
      </c>
      <c r="D37" s="8" t="s">
        <v>68</v>
      </c>
      <c r="E37" s="397" t="s">
        <v>216</v>
      </c>
      <c r="F37" s="1" t="s">
        <v>956</v>
      </c>
      <c r="G37" s="392">
        <v>843</v>
      </c>
      <c r="H37" s="282">
        <v>10</v>
      </c>
      <c r="I37" s="284" t="s">
        <v>9</v>
      </c>
      <c r="J37" s="7" t="s">
        <v>215</v>
      </c>
      <c r="K37" s="6" t="s">
        <v>370</v>
      </c>
      <c r="L37" s="30"/>
      <c r="M37" s="32">
        <f>5919.3-524</f>
        <v>5395.3</v>
      </c>
      <c r="N37" s="32">
        <f>'[1]без учета счетов бюджета'!$AN$12</f>
        <v>6044.9</v>
      </c>
      <c r="O37" s="32">
        <f>'[1]без учета счетов бюджета'!$AO$12</f>
        <v>5994.9</v>
      </c>
      <c r="P37" s="30">
        <f>'[1]без учета счетов бюджета'!$AP$12</f>
        <v>5993.8422399999999</v>
      </c>
      <c r="Q37" s="56" t="e">
        <f>L37+M37+P37+#REF!+#REF!+#REF!+#REF!</f>
        <v>#REF!</v>
      </c>
      <c r="R37" s="30">
        <f t="shared" si="5"/>
        <v>99.155358070439547</v>
      </c>
      <c r="S37" s="30">
        <f t="shared" si="6"/>
        <v>99.982355668985306</v>
      </c>
    </row>
    <row r="38" spans="1:20" ht="38.25" customHeight="1">
      <c r="A38" s="404" t="s">
        <v>110</v>
      </c>
      <c r="B38" s="404" t="s">
        <v>7</v>
      </c>
      <c r="C38" s="404" t="s">
        <v>7</v>
      </c>
      <c r="D38" s="8" t="s">
        <v>69</v>
      </c>
      <c r="E38" s="397" t="s">
        <v>217</v>
      </c>
      <c r="F38" s="1" t="s">
        <v>956</v>
      </c>
      <c r="G38" s="392">
        <v>843</v>
      </c>
      <c r="H38" s="282">
        <v>10</v>
      </c>
      <c r="I38" s="284" t="s">
        <v>9</v>
      </c>
      <c r="J38" s="7" t="s">
        <v>218</v>
      </c>
      <c r="K38" s="6" t="s">
        <v>370</v>
      </c>
      <c r="L38" s="30"/>
      <c r="M38" s="32">
        <v>585.1</v>
      </c>
      <c r="N38" s="32">
        <f>'[1]без учета счетов бюджета'!$AN$13</f>
        <v>613.29999999999995</v>
      </c>
      <c r="O38" s="32">
        <f>'[1]без учета счетов бюджета'!$AO$13</f>
        <v>613.29999999999995</v>
      </c>
      <c r="P38" s="30">
        <f>'[1]без учета счетов бюджета'!$AP$13</f>
        <v>591.43338000000006</v>
      </c>
      <c r="Q38" s="56" t="e">
        <f>L38+M38+P38+#REF!+#REF!+#REF!+#REF!</f>
        <v>#REF!</v>
      </c>
      <c r="R38" s="30">
        <f t="shared" si="5"/>
        <v>96.434596445459022</v>
      </c>
      <c r="S38" s="30">
        <f t="shared" si="6"/>
        <v>96.434596445459022</v>
      </c>
    </row>
    <row r="39" spans="1:20" ht="38.25" customHeight="1">
      <c r="A39" s="404" t="s">
        <v>110</v>
      </c>
      <c r="B39" s="404" t="s">
        <v>7</v>
      </c>
      <c r="C39" s="404" t="s">
        <v>7</v>
      </c>
      <c r="D39" s="8" t="s">
        <v>73</v>
      </c>
      <c r="E39" s="397" t="s">
        <v>219</v>
      </c>
      <c r="F39" s="1" t="s">
        <v>956</v>
      </c>
      <c r="G39" s="392">
        <v>843</v>
      </c>
      <c r="H39" s="282">
        <v>10</v>
      </c>
      <c r="I39" s="284" t="s">
        <v>51</v>
      </c>
      <c r="J39" s="7" t="s">
        <v>220</v>
      </c>
      <c r="K39" s="6">
        <v>310</v>
      </c>
      <c r="L39" s="30"/>
      <c r="M39" s="32">
        <f>89491.9-4019</f>
        <v>85472.9</v>
      </c>
      <c r="N39" s="32">
        <f>'[1]без учета счетов бюджета'!$AN$8</f>
        <v>86761.600000000006</v>
      </c>
      <c r="O39" s="32">
        <f>'[1]без учета счетов бюджета'!$AO$8</f>
        <v>89387.8</v>
      </c>
      <c r="P39" s="30">
        <f>'[1]без учета счетов бюджета'!$AP$8</f>
        <v>89386.400699999998</v>
      </c>
      <c r="Q39" s="56" t="e">
        <f>L39+M39+P39+#REF!+#REF!+#REF!+#REF!</f>
        <v>#REF!</v>
      </c>
      <c r="R39" s="30">
        <f t="shared" si="5"/>
        <v>103.02530232268651</v>
      </c>
      <c r="S39" s="30">
        <f t="shared" si="6"/>
        <v>99.998434573845643</v>
      </c>
    </row>
    <row r="40" spans="1:20" ht="38.25" customHeight="1">
      <c r="A40" s="404" t="s">
        <v>110</v>
      </c>
      <c r="B40" s="404" t="s">
        <v>7</v>
      </c>
      <c r="C40" s="404" t="s">
        <v>7</v>
      </c>
      <c r="D40" s="8" t="s">
        <v>75</v>
      </c>
      <c r="E40" s="397" t="s">
        <v>221</v>
      </c>
      <c r="F40" s="1" t="s">
        <v>956</v>
      </c>
      <c r="G40" s="392">
        <v>843</v>
      </c>
      <c r="H40" s="282">
        <v>10</v>
      </c>
      <c r="I40" s="284" t="s">
        <v>8</v>
      </c>
      <c r="J40" s="7" t="s">
        <v>222</v>
      </c>
      <c r="K40" s="6" t="s">
        <v>372</v>
      </c>
      <c r="L40" s="30"/>
      <c r="M40" s="32">
        <v>2386.1999999999998</v>
      </c>
      <c r="N40" s="32">
        <f>'[1]без учета счетов бюджета'!$AN$17</f>
        <v>2234</v>
      </c>
      <c r="O40" s="32">
        <f>'[1]без учета счетов бюджета'!$AO$17</f>
        <v>2234</v>
      </c>
      <c r="P40" s="30">
        <f>'[1]без учета счетов бюджета'!$AP$17</f>
        <v>2226.2604000000001</v>
      </c>
      <c r="Q40" s="56" t="e">
        <f>L40+M40+P40+#REF!+#REF!+#REF!+#REF!</f>
        <v>#REF!</v>
      </c>
      <c r="R40" s="30">
        <f t="shared" si="5"/>
        <v>99.653554162936445</v>
      </c>
      <c r="S40" s="30">
        <f t="shared" si="6"/>
        <v>99.653554162936445</v>
      </c>
    </row>
    <row r="41" spans="1:20" ht="38.25" customHeight="1">
      <c r="A41" s="404" t="s">
        <v>110</v>
      </c>
      <c r="B41" s="404" t="s">
        <v>7</v>
      </c>
      <c r="C41" s="404" t="s">
        <v>7</v>
      </c>
      <c r="D41" s="8" t="s">
        <v>76</v>
      </c>
      <c r="E41" s="397" t="s">
        <v>223</v>
      </c>
      <c r="F41" s="1" t="s">
        <v>956</v>
      </c>
      <c r="G41" s="392">
        <v>843</v>
      </c>
      <c r="H41" s="282">
        <v>10</v>
      </c>
      <c r="I41" s="284" t="s">
        <v>9</v>
      </c>
      <c r="J41" s="7" t="s">
        <v>225</v>
      </c>
      <c r="K41" s="6">
        <v>310</v>
      </c>
      <c r="L41" s="30"/>
      <c r="M41" s="32">
        <f>41311.1-5000-2837</f>
        <v>33474.1</v>
      </c>
      <c r="N41" s="32">
        <f>'[1]без учета счетов бюджета'!$AN$21</f>
        <v>33301.199999999997</v>
      </c>
      <c r="O41" s="32">
        <f>'[1]без учета счетов бюджета'!$AO$21</f>
        <v>29301.200000000001</v>
      </c>
      <c r="P41" s="30">
        <f>'[1]без учета счетов бюджета'!$AP$21</f>
        <v>27095.652300000002</v>
      </c>
      <c r="Q41" s="56" t="e">
        <f>L41+M41+P41+#REF!+#REF!+#REF!+#REF!</f>
        <v>#REF!</v>
      </c>
      <c r="R41" s="30">
        <f t="shared" si="5"/>
        <v>81.365393138986008</v>
      </c>
      <c r="S41" s="30">
        <f t="shared" si="6"/>
        <v>92.472841726618711</v>
      </c>
    </row>
    <row r="42" spans="1:20" ht="76.5" customHeight="1">
      <c r="A42" s="404" t="s">
        <v>110</v>
      </c>
      <c r="B42" s="404" t="s">
        <v>7</v>
      </c>
      <c r="C42" s="404" t="s">
        <v>7</v>
      </c>
      <c r="D42" s="8" t="s">
        <v>182</v>
      </c>
      <c r="E42" s="397" t="s">
        <v>224</v>
      </c>
      <c r="F42" s="1" t="s">
        <v>956</v>
      </c>
      <c r="G42" s="392">
        <v>843</v>
      </c>
      <c r="H42" s="282">
        <v>10</v>
      </c>
      <c r="I42" s="284" t="s">
        <v>7</v>
      </c>
      <c r="J42" s="7" t="s">
        <v>226</v>
      </c>
      <c r="K42" s="6">
        <v>310</v>
      </c>
      <c r="L42" s="30"/>
      <c r="M42" s="32">
        <f>520.8-110</f>
        <v>410.79999999999995</v>
      </c>
      <c r="N42" s="32">
        <f>'[1]без учета счетов бюджета'!$AN$22</f>
        <v>549.4</v>
      </c>
      <c r="O42" s="32">
        <f>'[1]без учета счетов бюджета'!$AO$22</f>
        <v>510.8</v>
      </c>
      <c r="P42" s="30">
        <f>'[1]без учета счетов бюджета'!$AP$22</f>
        <v>501.15319</v>
      </c>
      <c r="Q42" s="56" t="e">
        <f>L42+M42+P42+#REF!+#REF!+#REF!+#REF!</f>
        <v>#REF!</v>
      </c>
      <c r="R42" s="30">
        <f t="shared" si="5"/>
        <v>91.218272661084825</v>
      </c>
      <c r="S42" s="30">
        <f t="shared" si="6"/>
        <v>98.111431088488629</v>
      </c>
    </row>
    <row r="43" spans="1:20" ht="38.25" customHeight="1">
      <c r="A43" s="404" t="s">
        <v>110</v>
      </c>
      <c r="B43" s="404" t="s">
        <v>7</v>
      </c>
      <c r="C43" s="404" t="s">
        <v>7</v>
      </c>
      <c r="D43" s="8" t="s">
        <v>228</v>
      </c>
      <c r="E43" s="397" t="s">
        <v>227</v>
      </c>
      <c r="F43" s="1" t="s">
        <v>956</v>
      </c>
      <c r="G43" s="392">
        <v>843</v>
      </c>
      <c r="H43" s="282">
        <v>10</v>
      </c>
      <c r="I43" s="284" t="s">
        <v>9</v>
      </c>
      <c r="J43" s="7" t="s">
        <v>626</v>
      </c>
      <c r="K43" s="286" t="s">
        <v>373</v>
      </c>
      <c r="L43" s="32">
        <v>35738.9</v>
      </c>
      <c r="M43" s="32">
        <v>36399.1</v>
      </c>
      <c r="N43" s="32">
        <f>'[1]без учета счетов бюджета'!$AN$23</f>
        <v>40903</v>
      </c>
      <c r="O43" s="32">
        <f>'[1]без учета счетов бюджета'!$AO$23</f>
        <v>38351.5</v>
      </c>
      <c r="P43" s="30">
        <f>'[1]без учета счетов бюджета'!$AP$23</f>
        <v>38350.922890000002</v>
      </c>
      <c r="Q43" s="56" t="e">
        <f>L43+M43+P43+#REF!+#REF!+#REF!+#REF!</f>
        <v>#REF!</v>
      </c>
      <c r="R43" s="30">
        <f t="shared" si="5"/>
        <v>93.760660318314066</v>
      </c>
      <c r="S43" s="30">
        <f t="shared" si="6"/>
        <v>99.998495208792363</v>
      </c>
    </row>
    <row r="44" spans="1:20" ht="38.25" customHeight="1">
      <c r="A44" s="404" t="s">
        <v>110</v>
      </c>
      <c r="B44" s="404" t="s">
        <v>7</v>
      </c>
      <c r="C44" s="404" t="s">
        <v>7</v>
      </c>
      <c r="D44" s="8" t="s">
        <v>230</v>
      </c>
      <c r="E44" s="397" t="s">
        <v>231</v>
      </c>
      <c r="F44" s="1" t="s">
        <v>956</v>
      </c>
      <c r="G44" s="392">
        <v>843</v>
      </c>
      <c r="H44" s="282">
        <v>10</v>
      </c>
      <c r="I44" s="284" t="s">
        <v>9</v>
      </c>
      <c r="J44" s="7" t="s">
        <v>232</v>
      </c>
      <c r="K44" s="6">
        <v>320</v>
      </c>
      <c r="L44" s="32"/>
      <c r="M44" s="32">
        <f>275.1-14.7</f>
        <v>260.40000000000003</v>
      </c>
      <c r="N44" s="32">
        <f>'[1]без учета счетов бюджета'!$AN$25</f>
        <v>124</v>
      </c>
      <c r="O44" s="32">
        <f>'[1]без учета счетов бюджета'!$AO$25</f>
        <v>124</v>
      </c>
      <c r="P44" s="30">
        <f>'[1]без учета счетов бюджета'!$AP$25</f>
        <v>49.164519999999996</v>
      </c>
      <c r="Q44" s="56" t="e">
        <f>L44+M44+P44+#REF!+#REF!+#REF!+#REF!</f>
        <v>#REF!</v>
      </c>
      <c r="R44" s="30">
        <f t="shared" si="5"/>
        <v>39.648806451612899</v>
      </c>
      <c r="S44" s="30">
        <f t="shared" si="6"/>
        <v>39.648806451612899</v>
      </c>
    </row>
    <row r="45" spans="1:20" ht="38.25" customHeight="1">
      <c r="A45" s="404" t="s">
        <v>110</v>
      </c>
      <c r="B45" s="404" t="s">
        <v>7</v>
      </c>
      <c r="C45" s="404" t="s">
        <v>7</v>
      </c>
      <c r="D45" s="8" t="s">
        <v>365</v>
      </c>
      <c r="E45" s="397" t="s">
        <v>367</v>
      </c>
      <c r="F45" s="1" t="s">
        <v>956</v>
      </c>
      <c r="G45" s="392">
        <v>843</v>
      </c>
      <c r="H45" s="282">
        <v>10</v>
      </c>
      <c r="I45" s="284" t="s">
        <v>9</v>
      </c>
      <c r="J45" s="7" t="s">
        <v>366</v>
      </c>
      <c r="K45" s="6">
        <v>320</v>
      </c>
      <c r="L45" s="32"/>
      <c r="M45" s="32">
        <v>102.2</v>
      </c>
      <c r="N45" s="32">
        <f>'[1]без учета счетов бюджета'!$AN$27</f>
        <v>178.1</v>
      </c>
      <c r="O45" s="32">
        <f>'[1]без учета счетов бюджета'!$AO$27</f>
        <v>178.1</v>
      </c>
      <c r="P45" s="30">
        <f>'[1]без учета счетов бюджета'!$AP$27</f>
        <v>85.48557000000001</v>
      </c>
      <c r="Q45" s="56" t="e">
        <f>L45+M45+P45+#REF!+#REF!+#REF!+#REF!</f>
        <v>#REF!</v>
      </c>
      <c r="R45" s="30">
        <f t="shared" si="5"/>
        <v>47.998635597978669</v>
      </c>
      <c r="S45" s="30">
        <f t="shared" si="6"/>
        <v>47.998635597978669</v>
      </c>
    </row>
    <row r="46" spans="1:20" ht="38.25" customHeight="1">
      <c r="A46" s="404" t="s">
        <v>110</v>
      </c>
      <c r="B46" s="404" t="s">
        <v>7</v>
      </c>
      <c r="C46" s="404" t="s">
        <v>7</v>
      </c>
      <c r="D46" s="8" t="s">
        <v>552</v>
      </c>
      <c r="E46" s="399" t="s">
        <v>553</v>
      </c>
      <c r="F46" s="1" t="s">
        <v>956</v>
      </c>
      <c r="G46" s="392">
        <v>843</v>
      </c>
      <c r="H46" s="282">
        <v>10</v>
      </c>
      <c r="I46" s="284" t="s">
        <v>9</v>
      </c>
      <c r="J46" s="417" t="s">
        <v>614</v>
      </c>
      <c r="K46" s="6">
        <v>244</v>
      </c>
      <c r="L46" s="32"/>
      <c r="M46" s="32">
        <v>102.2</v>
      </c>
      <c r="N46" s="32">
        <f>'[1]без учета счетов бюджета'!$AN$20</f>
        <v>0</v>
      </c>
      <c r="O46" s="32">
        <f>'[1]без учета счетов бюджета'!$AO$20</f>
        <v>145</v>
      </c>
      <c r="P46" s="30">
        <f>'[1]без учета счетов бюджета'!$AP$20</f>
        <v>141.50753</v>
      </c>
      <c r="Q46" s="56" t="e">
        <f>L46+M46+P46+#REF!+#REF!+#REF!+#REF!</f>
        <v>#REF!</v>
      </c>
      <c r="R46" s="30">
        <v>0</v>
      </c>
      <c r="S46" s="30">
        <f t="shared" si="6"/>
        <v>97.591400000000007</v>
      </c>
      <c r="T46" s="36" t="s">
        <v>618</v>
      </c>
    </row>
    <row r="47" spans="1:20" ht="38.25" customHeight="1">
      <c r="A47" s="404" t="s">
        <v>110</v>
      </c>
      <c r="B47" s="404" t="s">
        <v>7</v>
      </c>
      <c r="C47" s="404" t="s">
        <v>7</v>
      </c>
      <c r="D47" s="8" t="s">
        <v>613</v>
      </c>
      <c r="E47" s="399" t="s">
        <v>616</v>
      </c>
      <c r="F47" s="1" t="s">
        <v>956</v>
      </c>
      <c r="G47" s="392">
        <v>843</v>
      </c>
      <c r="H47" s="282">
        <v>10</v>
      </c>
      <c r="I47" s="284" t="s">
        <v>9</v>
      </c>
      <c r="J47" s="418" t="s">
        <v>615</v>
      </c>
      <c r="K47" s="6">
        <v>313</v>
      </c>
      <c r="L47" s="32"/>
      <c r="M47" s="32">
        <v>102.2</v>
      </c>
      <c r="N47" s="32">
        <f>'[1]без учета счетов бюджета'!$AN$28</f>
        <v>175</v>
      </c>
      <c r="O47" s="32">
        <f>'[1]без учета счетов бюджета'!$AO$28</f>
        <v>10931.29</v>
      </c>
      <c r="P47" s="30">
        <f>'[1]без учета счетов бюджета'!$AP$28</f>
        <v>10309.25467</v>
      </c>
      <c r="Q47" s="56" t="e">
        <f>L47+M47+P47+#REF!+#REF!+#REF!+#REF!</f>
        <v>#REF!</v>
      </c>
      <c r="R47" s="30">
        <f t="shared" si="5"/>
        <v>5891.0026685714283</v>
      </c>
      <c r="S47" s="30">
        <f t="shared" si="6"/>
        <v>94.309588987210105</v>
      </c>
      <c r="T47" s="36" t="s">
        <v>618</v>
      </c>
    </row>
    <row r="48" spans="1:20" ht="38.25">
      <c r="A48" s="404" t="s">
        <v>110</v>
      </c>
      <c r="B48" s="404" t="s">
        <v>99</v>
      </c>
      <c r="C48" s="404" t="s">
        <v>9</v>
      </c>
      <c r="D48" s="8"/>
      <c r="E48" s="397" t="s">
        <v>233</v>
      </c>
      <c r="F48" s="1" t="s">
        <v>956</v>
      </c>
      <c r="G48" s="392">
        <v>843</v>
      </c>
      <c r="H48" s="282">
        <v>10</v>
      </c>
      <c r="I48" s="284" t="s">
        <v>9</v>
      </c>
      <c r="J48" s="7" t="s">
        <v>235</v>
      </c>
      <c r="K48" s="6">
        <v>320</v>
      </c>
      <c r="L48" s="32" t="e">
        <f>L49</f>
        <v>#REF!</v>
      </c>
      <c r="M48" s="32">
        <v>5439.5</v>
      </c>
      <c r="N48" s="32">
        <f>N49</f>
        <v>10000</v>
      </c>
      <c r="O48" s="32">
        <f t="shared" ref="O48:P48" si="9">O49</f>
        <v>8826.1322300000011</v>
      </c>
      <c r="P48" s="32">
        <f t="shared" si="9"/>
        <v>8826.1322300000011</v>
      </c>
      <c r="Q48" s="56" t="e">
        <f>L48+M48+P48+#REF!+#REF!+#REF!+#REF!</f>
        <v>#REF!</v>
      </c>
      <c r="R48" s="30">
        <f t="shared" si="5"/>
        <v>88.261322300000018</v>
      </c>
      <c r="S48" s="30">
        <f t="shared" si="6"/>
        <v>99.999999999999986</v>
      </c>
    </row>
    <row r="49" spans="1:19" ht="51">
      <c r="A49" s="404" t="s">
        <v>110</v>
      </c>
      <c r="B49" s="404" t="s">
        <v>7</v>
      </c>
      <c r="C49" s="404" t="s">
        <v>9</v>
      </c>
      <c r="D49" s="8" t="s">
        <v>7</v>
      </c>
      <c r="E49" s="397" t="s">
        <v>234</v>
      </c>
      <c r="F49" s="1" t="s">
        <v>956</v>
      </c>
      <c r="G49" s="392">
        <v>843</v>
      </c>
      <c r="H49" s="282">
        <v>10</v>
      </c>
      <c r="I49" s="284" t="s">
        <v>9</v>
      </c>
      <c r="J49" s="7" t="s">
        <v>236</v>
      </c>
      <c r="K49" s="6">
        <v>320</v>
      </c>
      <c r="L49" s="32" t="e">
        <f>#REF!</f>
        <v>#REF!</v>
      </c>
      <c r="M49" s="32">
        <f>13000-7034.8</f>
        <v>5965.2</v>
      </c>
      <c r="N49" s="32">
        <f>'[1]без учета счетов бюджета'!$AN$29</f>
        <v>10000</v>
      </c>
      <c r="O49" s="32">
        <f>'[1]без учета счетов бюджета'!$AO$29</f>
        <v>8826.1322300000011</v>
      </c>
      <c r="P49" s="30">
        <f>'[1]без учета счетов бюджета'!$AP$29</f>
        <v>8826.1322300000011</v>
      </c>
      <c r="Q49" s="56" t="e">
        <f>L49+M49+P49+#REF!+#REF!+#REF!+#REF!</f>
        <v>#REF!</v>
      </c>
      <c r="R49" s="30">
        <f t="shared" si="5"/>
        <v>88.261322300000018</v>
      </c>
      <c r="S49" s="30">
        <f t="shared" si="6"/>
        <v>99.999999999999986</v>
      </c>
    </row>
    <row r="50" spans="1:19" ht="51" hidden="1">
      <c r="A50" s="404" t="s">
        <v>110</v>
      </c>
      <c r="B50" s="404" t="s">
        <v>99</v>
      </c>
      <c r="C50" s="404" t="s">
        <v>10</v>
      </c>
      <c r="D50" s="8"/>
      <c r="E50" s="397" t="s">
        <v>238</v>
      </c>
      <c r="F50" s="1" t="s">
        <v>956</v>
      </c>
      <c r="G50" s="392">
        <v>843</v>
      </c>
      <c r="H50" s="282">
        <v>10</v>
      </c>
      <c r="I50" s="284" t="s">
        <v>9</v>
      </c>
      <c r="J50" s="7" t="s">
        <v>239</v>
      </c>
      <c r="K50" s="6">
        <v>320</v>
      </c>
      <c r="L50" s="32" t="e">
        <f>L51</f>
        <v>#REF!</v>
      </c>
      <c r="M50" s="32">
        <v>333680.5</v>
      </c>
      <c r="N50" s="32"/>
      <c r="O50" s="32"/>
      <c r="P50" s="32" t="e">
        <f>P51</f>
        <v>#REF!</v>
      </c>
      <c r="Q50" s="56" t="e">
        <f>L50+M50+P50+#REF!+#REF!+#REF!+#REF!</f>
        <v>#REF!</v>
      </c>
      <c r="R50" s="30" t="e">
        <f t="shared" si="5"/>
        <v>#REF!</v>
      </c>
      <c r="S50" s="30" t="e">
        <f t="shared" si="6"/>
        <v>#REF!</v>
      </c>
    </row>
    <row r="51" spans="1:19" ht="38.25" hidden="1" customHeight="1">
      <c r="A51" s="404" t="s">
        <v>110</v>
      </c>
      <c r="B51" s="404" t="s">
        <v>7</v>
      </c>
      <c r="C51" s="404" t="s">
        <v>10</v>
      </c>
      <c r="D51" s="8" t="s">
        <v>7</v>
      </c>
      <c r="E51" s="397" t="s">
        <v>237</v>
      </c>
      <c r="F51" s="1" t="s">
        <v>956</v>
      </c>
      <c r="G51" s="392">
        <v>843</v>
      </c>
      <c r="H51" s="282">
        <v>10</v>
      </c>
      <c r="I51" s="284" t="s">
        <v>9</v>
      </c>
      <c r="J51" s="7" t="s">
        <v>240</v>
      </c>
      <c r="K51" s="6"/>
      <c r="L51" s="32" t="e">
        <f>#REF!</f>
        <v>#REF!</v>
      </c>
      <c r="M51" s="32">
        <v>333837.5</v>
      </c>
      <c r="N51" s="32"/>
      <c r="O51" s="32"/>
      <c r="P51" s="30" t="e">
        <f>#REF!*1.05</f>
        <v>#REF!</v>
      </c>
      <c r="Q51" s="56" t="e">
        <f>L51+M51+P51+#REF!+#REF!+#REF!+#REF!</f>
        <v>#REF!</v>
      </c>
      <c r="R51" s="30" t="e">
        <f t="shared" si="5"/>
        <v>#REF!</v>
      </c>
      <c r="S51" s="30" t="e">
        <f t="shared" si="6"/>
        <v>#REF!</v>
      </c>
    </row>
    <row r="52" spans="1:19" ht="48.75" hidden="1" customHeight="1">
      <c r="A52" s="404" t="s">
        <v>110</v>
      </c>
      <c r="B52" s="404" t="s">
        <v>99</v>
      </c>
      <c r="C52" s="404" t="s">
        <v>33</v>
      </c>
      <c r="D52" s="8"/>
      <c r="E52" s="397" t="s">
        <v>241</v>
      </c>
      <c r="F52" s="1" t="s">
        <v>956</v>
      </c>
      <c r="G52" s="392">
        <v>843</v>
      </c>
      <c r="H52" s="282">
        <v>10</v>
      </c>
      <c r="I52" s="284" t="s">
        <v>9</v>
      </c>
      <c r="J52" s="7" t="s">
        <v>243</v>
      </c>
      <c r="K52" s="6">
        <v>320</v>
      </c>
      <c r="L52" s="32" t="e">
        <f>L53</f>
        <v>#REF!</v>
      </c>
      <c r="M52" s="32">
        <v>39904.1</v>
      </c>
      <c r="N52" s="32"/>
      <c r="O52" s="32"/>
      <c r="P52" s="32">
        <v>0</v>
      </c>
      <c r="Q52" s="56" t="e">
        <f>L52+M52+P52+#REF!+#REF!+#REF!+#REF!</f>
        <v>#REF!</v>
      </c>
      <c r="R52" s="30" t="e">
        <f t="shared" si="5"/>
        <v>#DIV/0!</v>
      </c>
      <c r="S52" s="30" t="e">
        <f t="shared" si="6"/>
        <v>#DIV/0!</v>
      </c>
    </row>
    <row r="53" spans="1:19" ht="38.25" hidden="1" customHeight="1">
      <c r="A53" s="404" t="s">
        <v>110</v>
      </c>
      <c r="B53" s="404" t="s">
        <v>7</v>
      </c>
      <c r="C53" s="404" t="s">
        <v>33</v>
      </c>
      <c r="D53" s="8" t="s">
        <v>7</v>
      </c>
      <c r="E53" s="397" t="s">
        <v>242</v>
      </c>
      <c r="F53" s="1" t="s">
        <v>956</v>
      </c>
      <c r="G53" s="392">
        <v>843</v>
      </c>
      <c r="H53" s="282">
        <v>10</v>
      </c>
      <c r="I53" s="284" t="s">
        <v>9</v>
      </c>
      <c r="J53" s="7" t="s">
        <v>244</v>
      </c>
      <c r="K53" s="6"/>
      <c r="L53" s="32" t="e">
        <f>#REF!</f>
        <v>#REF!</v>
      </c>
      <c r="M53" s="31">
        <v>35061.599999999999</v>
      </c>
      <c r="N53" s="31"/>
      <c r="O53" s="31"/>
      <c r="P53" s="30"/>
      <c r="Q53" s="56" t="e">
        <f>L53+M53+P53+#REF!+#REF!+#REF!+#REF!</f>
        <v>#REF!</v>
      </c>
      <c r="R53" s="30" t="e">
        <f t="shared" si="5"/>
        <v>#DIV/0!</v>
      </c>
      <c r="S53" s="30" t="e">
        <f t="shared" si="6"/>
        <v>#DIV/0!</v>
      </c>
    </row>
    <row r="54" spans="1:19" ht="38.25" customHeight="1">
      <c r="A54" s="404" t="s">
        <v>110</v>
      </c>
      <c r="B54" s="404" t="s">
        <v>99</v>
      </c>
      <c r="C54" s="404" t="s">
        <v>25</v>
      </c>
      <c r="D54" s="8"/>
      <c r="E54" s="397" t="s">
        <v>23</v>
      </c>
      <c r="F54" s="1" t="s">
        <v>956</v>
      </c>
      <c r="G54" s="392">
        <v>843</v>
      </c>
      <c r="H54" s="282">
        <v>10</v>
      </c>
      <c r="I54" s="284" t="s">
        <v>25</v>
      </c>
      <c r="J54" s="7" t="s">
        <v>245</v>
      </c>
      <c r="K54" s="6">
        <v>630</v>
      </c>
      <c r="L54" s="31">
        <f>SUM(L55:L65)</f>
        <v>2753.9</v>
      </c>
      <c r="M54" s="32">
        <v>3287.9</v>
      </c>
      <c r="N54" s="32">
        <f>N55+N56+N57+N58+N59+N60+N61+N62+N63+N64+N65+N66</f>
        <v>2960.8</v>
      </c>
      <c r="O54" s="32">
        <f t="shared" ref="O54:P54" si="10">O55+O56+O57+O58+O59+O60+O61+O62+O63+O64+O65+O66</f>
        <v>2960.8</v>
      </c>
      <c r="P54" s="32">
        <f t="shared" si="10"/>
        <v>2960.8</v>
      </c>
      <c r="Q54" s="56" t="e">
        <f>L54+M54+P54+#REF!+#REF!+#REF!+#REF!</f>
        <v>#REF!</v>
      </c>
      <c r="R54" s="30">
        <f t="shared" si="5"/>
        <v>100</v>
      </c>
      <c r="S54" s="30">
        <f t="shared" si="6"/>
        <v>100</v>
      </c>
    </row>
    <row r="55" spans="1:19" ht="38.25" customHeight="1">
      <c r="A55" s="404" t="s">
        <v>110</v>
      </c>
      <c r="B55" s="404" t="s">
        <v>7</v>
      </c>
      <c r="C55" s="404" t="s">
        <v>25</v>
      </c>
      <c r="D55" s="8" t="s">
        <v>7</v>
      </c>
      <c r="E55" s="397" t="s">
        <v>246</v>
      </c>
      <c r="F55" s="1" t="s">
        <v>956</v>
      </c>
      <c r="G55" s="392">
        <v>843</v>
      </c>
      <c r="H55" s="282">
        <v>10</v>
      </c>
      <c r="I55" s="284" t="s">
        <v>25</v>
      </c>
      <c r="J55" s="7" t="s">
        <v>257</v>
      </c>
      <c r="K55" s="6">
        <v>630</v>
      </c>
      <c r="L55" s="32">
        <v>381.3</v>
      </c>
      <c r="M55" s="31">
        <v>508.4</v>
      </c>
      <c r="N55" s="31">
        <f>'[1]без учета счетов бюджета'!$AN$30</f>
        <v>508.4</v>
      </c>
      <c r="O55" s="31">
        <f>'[1]без учета счетов бюджета'!$AO$30</f>
        <v>0</v>
      </c>
      <c r="P55" s="30">
        <f>'[1]без учета счетов бюджета'!$AP$30</f>
        <v>0</v>
      </c>
      <c r="Q55" s="56" t="e">
        <f>L55+M55+P55+#REF!+#REF!+#REF!+#REF!</f>
        <v>#REF!</v>
      </c>
      <c r="R55" s="30">
        <f t="shared" si="5"/>
        <v>0</v>
      </c>
      <c r="S55" s="30">
        <v>0</v>
      </c>
    </row>
    <row r="56" spans="1:19" ht="38.25" customHeight="1">
      <c r="A56" s="404" t="s">
        <v>110</v>
      </c>
      <c r="B56" s="404" t="s">
        <v>7</v>
      </c>
      <c r="C56" s="404" t="s">
        <v>25</v>
      </c>
      <c r="D56" s="8" t="s">
        <v>8</v>
      </c>
      <c r="E56" s="397" t="s">
        <v>247</v>
      </c>
      <c r="F56" s="1" t="s">
        <v>956</v>
      </c>
      <c r="G56" s="392">
        <v>843</v>
      </c>
      <c r="H56" s="282">
        <v>10</v>
      </c>
      <c r="I56" s="284" t="s">
        <v>25</v>
      </c>
      <c r="J56" s="7" t="s">
        <v>258</v>
      </c>
      <c r="K56" s="6">
        <v>630</v>
      </c>
      <c r="L56" s="32">
        <v>174.2</v>
      </c>
      <c r="M56" s="31">
        <v>232.3</v>
      </c>
      <c r="N56" s="31">
        <f>'[1]без учета счетов бюджета'!$AN$31</f>
        <v>232.3</v>
      </c>
      <c r="O56" s="31">
        <f>'[1]без учета счетов бюджета'!$AO$31</f>
        <v>0</v>
      </c>
      <c r="P56" s="30">
        <f>'[1]без учета счетов бюджета'!$AP$31</f>
        <v>0</v>
      </c>
      <c r="Q56" s="56" t="e">
        <f>L56+M56+P56+#REF!+#REF!+#REF!+#REF!</f>
        <v>#REF!</v>
      </c>
      <c r="R56" s="30">
        <f t="shared" si="5"/>
        <v>0</v>
      </c>
      <c r="S56" s="30">
        <v>0</v>
      </c>
    </row>
    <row r="57" spans="1:19" ht="38.25" customHeight="1">
      <c r="A57" s="404" t="s">
        <v>110</v>
      </c>
      <c r="B57" s="404" t="s">
        <v>7</v>
      </c>
      <c r="C57" s="404" t="s">
        <v>25</v>
      </c>
      <c r="D57" s="8" t="s">
        <v>9</v>
      </c>
      <c r="E57" s="397" t="s">
        <v>248</v>
      </c>
      <c r="F57" s="1" t="s">
        <v>956</v>
      </c>
      <c r="G57" s="392">
        <v>843</v>
      </c>
      <c r="H57" s="282">
        <v>10</v>
      </c>
      <c r="I57" s="284" t="s">
        <v>25</v>
      </c>
      <c r="J57" s="7" t="s">
        <v>259</v>
      </c>
      <c r="K57" s="6">
        <v>630</v>
      </c>
      <c r="L57" s="32">
        <v>103.7</v>
      </c>
      <c r="M57" s="31">
        <v>138.19999999999999</v>
      </c>
      <c r="N57" s="31">
        <f>'[2]без учета счетов бюджета'!$AO$32</f>
        <v>138.19999999999999</v>
      </c>
      <c r="O57" s="31"/>
      <c r="P57" s="30"/>
      <c r="Q57" s="56" t="e">
        <f>L57+M57+P57+#REF!+#REF!+#REF!+#REF!</f>
        <v>#REF!</v>
      </c>
      <c r="R57" s="30">
        <f t="shared" si="5"/>
        <v>0</v>
      </c>
      <c r="S57" s="30">
        <v>0</v>
      </c>
    </row>
    <row r="58" spans="1:19" ht="63.75" customHeight="1">
      <c r="A58" s="404" t="s">
        <v>110</v>
      </c>
      <c r="B58" s="404" t="s">
        <v>7</v>
      </c>
      <c r="C58" s="404" t="s">
        <v>25</v>
      </c>
      <c r="D58" s="8" t="s">
        <v>10</v>
      </c>
      <c r="E58" s="397" t="s">
        <v>249</v>
      </c>
      <c r="F58" s="1" t="s">
        <v>956</v>
      </c>
      <c r="G58" s="392">
        <v>843</v>
      </c>
      <c r="H58" s="282">
        <v>10</v>
      </c>
      <c r="I58" s="284" t="s">
        <v>25</v>
      </c>
      <c r="J58" s="7" t="s">
        <v>260</v>
      </c>
      <c r="K58" s="6">
        <v>630</v>
      </c>
      <c r="L58" s="32">
        <v>19</v>
      </c>
      <c r="M58" s="31">
        <v>25.3</v>
      </c>
      <c r="N58" s="31">
        <f>'[2]без учета счетов бюджета'!$AO$33</f>
        <v>25.3</v>
      </c>
      <c r="O58" s="31"/>
      <c r="P58" s="30"/>
      <c r="Q58" s="56" t="e">
        <f>L58+M58+P58+#REF!+#REF!+#REF!+#REF!</f>
        <v>#REF!</v>
      </c>
      <c r="R58" s="30">
        <f t="shared" si="5"/>
        <v>0</v>
      </c>
      <c r="S58" s="30">
        <v>0</v>
      </c>
    </row>
    <row r="59" spans="1:19" ht="38.25" customHeight="1">
      <c r="A59" s="404" t="s">
        <v>110</v>
      </c>
      <c r="B59" s="404" t="s">
        <v>7</v>
      </c>
      <c r="C59" s="404" t="s">
        <v>25</v>
      </c>
      <c r="D59" s="8" t="s">
        <v>33</v>
      </c>
      <c r="E59" s="397" t="s">
        <v>250</v>
      </c>
      <c r="F59" s="1" t="s">
        <v>956</v>
      </c>
      <c r="G59" s="392">
        <v>843</v>
      </c>
      <c r="H59" s="282">
        <v>10</v>
      </c>
      <c r="I59" s="284" t="s">
        <v>25</v>
      </c>
      <c r="J59" s="7" t="s">
        <v>374</v>
      </c>
      <c r="K59" s="6">
        <v>630</v>
      </c>
      <c r="L59" s="32">
        <v>75.2</v>
      </c>
      <c r="M59" s="31">
        <v>100.2</v>
      </c>
      <c r="N59" s="31">
        <f>'[2]без учета счетов бюджета'!$AO$34</f>
        <v>100.2</v>
      </c>
      <c r="O59" s="31"/>
      <c r="P59" s="30"/>
      <c r="Q59" s="56" t="e">
        <f>L59+M59+P59+#REF!+#REF!+#REF!+#REF!</f>
        <v>#REF!</v>
      </c>
      <c r="R59" s="30">
        <f t="shared" si="5"/>
        <v>0</v>
      </c>
      <c r="S59" s="30">
        <v>0</v>
      </c>
    </row>
    <row r="60" spans="1:19" ht="38.25" customHeight="1">
      <c r="A60" s="404" t="s">
        <v>110</v>
      </c>
      <c r="B60" s="404" t="s">
        <v>7</v>
      </c>
      <c r="C60" s="404" t="s">
        <v>25</v>
      </c>
      <c r="D60" s="8" t="s">
        <v>25</v>
      </c>
      <c r="E60" s="397" t="s">
        <v>251</v>
      </c>
      <c r="F60" s="1" t="s">
        <v>956</v>
      </c>
      <c r="G60" s="392">
        <v>843</v>
      </c>
      <c r="H60" s="282">
        <v>10</v>
      </c>
      <c r="I60" s="284" t="s">
        <v>25</v>
      </c>
      <c r="J60" s="7" t="s">
        <v>375</v>
      </c>
      <c r="K60" s="6">
        <v>630</v>
      </c>
      <c r="L60" s="32">
        <v>413.9</v>
      </c>
      <c r="M60" s="31">
        <v>413.9</v>
      </c>
      <c r="N60" s="31">
        <f>'[2]без учета счетов бюджета'!$AO$35</f>
        <v>413.9</v>
      </c>
      <c r="O60" s="31"/>
      <c r="P60" s="30"/>
      <c r="Q60" s="56" t="e">
        <f>L60+M60+P60+#REF!+#REF!+#REF!+#REF!</f>
        <v>#REF!</v>
      </c>
      <c r="R60" s="30">
        <f t="shared" si="5"/>
        <v>0</v>
      </c>
      <c r="S60" s="30">
        <v>0</v>
      </c>
    </row>
    <row r="61" spans="1:19" ht="51" customHeight="1">
      <c r="A61" s="404" t="s">
        <v>110</v>
      </c>
      <c r="B61" s="404" t="s">
        <v>7</v>
      </c>
      <c r="C61" s="404" t="s">
        <v>25</v>
      </c>
      <c r="D61" s="8" t="s">
        <v>6</v>
      </c>
      <c r="E61" s="397" t="s">
        <v>252</v>
      </c>
      <c r="F61" s="1" t="s">
        <v>956</v>
      </c>
      <c r="G61" s="392">
        <v>843</v>
      </c>
      <c r="H61" s="282">
        <v>10</v>
      </c>
      <c r="I61" s="284" t="s">
        <v>25</v>
      </c>
      <c r="J61" s="7" t="s">
        <v>376</v>
      </c>
      <c r="K61" s="6">
        <v>630</v>
      </c>
      <c r="L61" s="32">
        <v>494.4</v>
      </c>
      <c r="M61" s="31">
        <v>494.4</v>
      </c>
      <c r="N61" s="31">
        <f>'[2]без учета счетов бюджета'!$AO$36</f>
        <v>494.4</v>
      </c>
      <c r="O61" s="31"/>
      <c r="P61" s="30"/>
      <c r="Q61" s="56" t="e">
        <f>L61+M61+P61+#REF!+#REF!+#REF!+#REF!</f>
        <v>#REF!</v>
      </c>
      <c r="R61" s="30">
        <f t="shared" si="5"/>
        <v>0</v>
      </c>
      <c r="S61" s="30">
        <v>0</v>
      </c>
    </row>
    <row r="62" spans="1:19" ht="51" customHeight="1">
      <c r="A62" s="404" t="s">
        <v>110</v>
      </c>
      <c r="B62" s="404" t="s">
        <v>7</v>
      </c>
      <c r="C62" s="404" t="s">
        <v>25</v>
      </c>
      <c r="D62" s="8" t="s">
        <v>34</v>
      </c>
      <c r="E62" s="397" t="s">
        <v>253</v>
      </c>
      <c r="F62" s="1" t="s">
        <v>956</v>
      </c>
      <c r="G62" s="392">
        <v>843</v>
      </c>
      <c r="H62" s="282">
        <v>10</v>
      </c>
      <c r="I62" s="284" t="s">
        <v>25</v>
      </c>
      <c r="J62" s="7" t="s">
        <v>377</v>
      </c>
      <c r="K62" s="6">
        <v>630</v>
      </c>
      <c r="L62" s="32">
        <v>1000</v>
      </c>
      <c r="M62" s="31">
        <v>925.1</v>
      </c>
      <c r="N62" s="31">
        <f>'[2]без учета счетов бюджета'!$AO$37</f>
        <v>925.1</v>
      </c>
      <c r="O62" s="31"/>
      <c r="P62" s="30"/>
      <c r="Q62" s="56" t="e">
        <f>L62+M62+P62+#REF!+#REF!+#REF!+#REF!</f>
        <v>#REF!</v>
      </c>
      <c r="R62" s="30">
        <f t="shared" si="5"/>
        <v>0</v>
      </c>
      <c r="S62" s="30">
        <v>0</v>
      </c>
    </row>
    <row r="63" spans="1:19" ht="38.25" customHeight="1">
      <c r="A63" s="404" t="s">
        <v>110</v>
      </c>
      <c r="B63" s="404" t="s">
        <v>7</v>
      </c>
      <c r="C63" s="404" t="s">
        <v>25</v>
      </c>
      <c r="D63" s="8" t="s">
        <v>35</v>
      </c>
      <c r="E63" s="397" t="s">
        <v>254</v>
      </c>
      <c r="F63" s="1" t="s">
        <v>956</v>
      </c>
      <c r="G63" s="392">
        <v>843</v>
      </c>
      <c r="H63" s="282">
        <v>10</v>
      </c>
      <c r="I63" s="284" t="s">
        <v>25</v>
      </c>
      <c r="J63" s="7" t="s">
        <v>378</v>
      </c>
      <c r="K63" s="6">
        <v>630</v>
      </c>
      <c r="L63" s="32">
        <v>22.1</v>
      </c>
      <c r="M63" s="31">
        <v>29.5</v>
      </c>
      <c r="N63" s="31">
        <f>'[2]без учета счетов бюджета'!$AO$38</f>
        <v>29.5</v>
      </c>
      <c r="O63" s="31"/>
      <c r="P63" s="30"/>
      <c r="Q63" s="56" t="e">
        <f>L63+M63+P63+#REF!+#REF!+#REF!+#REF!</f>
        <v>#REF!</v>
      </c>
      <c r="R63" s="30">
        <f t="shared" si="5"/>
        <v>0</v>
      </c>
      <c r="S63" s="30">
        <v>0</v>
      </c>
    </row>
    <row r="64" spans="1:19" ht="38.25" customHeight="1">
      <c r="A64" s="404" t="s">
        <v>110</v>
      </c>
      <c r="B64" s="404" t="s">
        <v>7</v>
      </c>
      <c r="C64" s="404" t="s">
        <v>25</v>
      </c>
      <c r="D64" s="8" t="s">
        <v>51</v>
      </c>
      <c r="E64" s="397" t="s">
        <v>255</v>
      </c>
      <c r="F64" s="1" t="s">
        <v>956</v>
      </c>
      <c r="G64" s="392">
        <v>843</v>
      </c>
      <c r="H64" s="282">
        <v>10</v>
      </c>
      <c r="I64" s="284" t="s">
        <v>25</v>
      </c>
      <c r="J64" s="7" t="s">
        <v>379</v>
      </c>
      <c r="K64" s="6">
        <v>630</v>
      </c>
      <c r="L64" s="32">
        <v>32.6</v>
      </c>
      <c r="M64" s="31">
        <v>43.5</v>
      </c>
      <c r="N64" s="31">
        <f>'[2]без учета счетов бюджета'!$AO$39</f>
        <v>43.5</v>
      </c>
      <c r="O64" s="31"/>
      <c r="P64" s="30"/>
      <c r="Q64" s="56" t="e">
        <f>L64+M64+P64+#REF!+#REF!+#REF!+#REF!</f>
        <v>#REF!</v>
      </c>
      <c r="R64" s="30">
        <f t="shared" si="5"/>
        <v>0</v>
      </c>
      <c r="S64" s="30">
        <v>0</v>
      </c>
    </row>
    <row r="65" spans="1:30" ht="38.25" customHeight="1">
      <c r="A65" s="404" t="s">
        <v>110</v>
      </c>
      <c r="B65" s="404" t="s">
        <v>7</v>
      </c>
      <c r="C65" s="404" t="s">
        <v>25</v>
      </c>
      <c r="D65" s="8" t="s">
        <v>68</v>
      </c>
      <c r="E65" s="397" t="s">
        <v>256</v>
      </c>
      <c r="F65" s="1" t="s">
        <v>956</v>
      </c>
      <c r="G65" s="392">
        <v>843</v>
      </c>
      <c r="H65" s="282">
        <v>10</v>
      </c>
      <c r="I65" s="284" t="s">
        <v>25</v>
      </c>
      <c r="J65" s="7" t="s">
        <v>380</v>
      </c>
      <c r="K65" s="6">
        <v>630</v>
      </c>
      <c r="L65" s="32">
        <v>37.5</v>
      </c>
      <c r="M65" s="31">
        <v>50</v>
      </c>
      <c r="N65" s="31">
        <f>'[2]без учета счетов бюджета'!$AO$40</f>
        <v>50</v>
      </c>
      <c r="O65" s="31"/>
      <c r="P65" s="30"/>
      <c r="Q65" s="56" t="e">
        <f>L65+M65+P65+#REF!+#REF!+#REF!+#REF!</f>
        <v>#REF!</v>
      </c>
      <c r="R65" s="30">
        <f t="shared" si="5"/>
        <v>0</v>
      </c>
      <c r="S65" s="30">
        <v>0</v>
      </c>
    </row>
    <row r="66" spans="1:30" ht="55.5" customHeight="1">
      <c r="A66" s="404" t="s">
        <v>110</v>
      </c>
      <c r="B66" s="404" t="s">
        <v>7</v>
      </c>
      <c r="C66" s="404" t="s">
        <v>25</v>
      </c>
      <c r="D66" s="8" t="s">
        <v>69</v>
      </c>
      <c r="E66" s="419" t="s">
        <v>617</v>
      </c>
      <c r="F66" s="1" t="s">
        <v>956</v>
      </c>
      <c r="G66" s="392">
        <v>843</v>
      </c>
      <c r="H66" s="282">
        <v>10</v>
      </c>
      <c r="I66" s="284" t="s">
        <v>25</v>
      </c>
      <c r="J66" s="319">
        <v>3010608090</v>
      </c>
      <c r="K66" s="6">
        <v>632</v>
      </c>
      <c r="L66" s="32">
        <v>37.5</v>
      </c>
      <c r="M66" s="31">
        <v>50</v>
      </c>
      <c r="N66" s="31">
        <f>'[1]без учета счетов бюджета'!$AN$41</f>
        <v>0</v>
      </c>
      <c r="O66" s="31">
        <f>'[1]без учета счетов бюджета'!$AO$41</f>
        <v>2960.8</v>
      </c>
      <c r="P66" s="30">
        <f>'[1]без учета счетов бюджета'!$AP$41</f>
        <v>2960.8</v>
      </c>
      <c r="Q66" s="56" t="e">
        <f>L66+M66+P66+#REF!+#REF!+#REF!+#REF!</f>
        <v>#REF!</v>
      </c>
      <c r="R66" s="30">
        <v>0</v>
      </c>
      <c r="S66" s="30">
        <f t="shared" si="6"/>
        <v>100</v>
      </c>
      <c r="T66" s="36" t="s">
        <v>618</v>
      </c>
    </row>
    <row r="67" spans="1:30" ht="15" customHeight="1">
      <c r="A67" s="501" t="s">
        <v>110</v>
      </c>
      <c r="B67" s="501" t="s">
        <v>507</v>
      </c>
      <c r="C67" s="501"/>
      <c r="D67" s="503"/>
      <c r="E67" s="505" t="s">
        <v>176</v>
      </c>
      <c r="F67" s="1" t="s">
        <v>48</v>
      </c>
      <c r="G67" s="6"/>
      <c r="H67" s="6"/>
      <c r="I67" s="8"/>
      <c r="J67" s="8"/>
      <c r="K67" s="6"/>
      <c r="L67" s="30" t="e">
        <f>L68+L69+#REF!</f>
        <v>#REF!</v>
      </c>
      <c r="M67" s="30" t="e">
        <f>M68+M69+#REF!</f>
        <v>#REF!</v>
      </c>
      <c r="N67" s="30">
        <f>N68+N69</f>
        <v>1702700.4</v>
      </c>
      <c r="O67" s="30">
        <f t="shared" ref="O67:Q67" si="11">O68+O69</f>
        <v>1637823.4</v>
      </c>
      <c r="P67" s="30">
        <f t="shared" si="11"/>
        <v>1606069.2848099999</v>
      </c>
      <c r="Q67" s="30" t="e">
        <f t="shared" si="11"/>
        <v>#REF!</v>
      </c>
      <c r="R67" s="30">
        <f t="shared" si="5"/>
        <v>94.324831591629376</v>
      </c>
      <c r="S67" s="30">
        <f t="shared" si="6"/>
        <v>98.061200298518145</v>
      </c>
      <c r="AD67" s="36"/>
    </row>
    <row r="68" spans="1:30" ht="38.25">
      <c r="A68" s="527"/>
      <c r="B68" s="527"/>
      <c r="C68" s="527"/>
      <c r="D68" s="518"/>
      <c r="E68" s="515"/>
      <c r="F68" s="1" t="s">
        <v>956</v>
      </c>
      <c r="G68" s="6">
        <v>843</v>
      </c>
      <c r="H68" s="6"/>
      <c r="I68" s="8"/>
      <c r="J68" s="8" t="s">
        <v>382</v>
      </c>
      <c r="K68" s="6"/>
      <c r="L68" s="30" t="e">
        <f>L70+L78+L81+L83+L87+#REF!+L92+#REF!</f>
        <v>#REF!</v>
      </c>
      <c r="M68" s="54" t="e">
        <f>M70+M78+M81+M83+M87+#REF!+#REF!+M92+#REF!</f>
        <v>#REF!</v>
      </c>
      <c r="N68" s="54">
        <f>N70+N78+N81+N83+N87+N92</f>
        <v>1661240.4</v>
      </c>
      <c r="O68" s="54">
        <f t="shared" ref="O68:P68" si="12">O70+O78+O81+O83+O87+O92</f>
        <v>1610426.9</v>
      </c>
      <c r="P68" s="54">
        <f t="shared" si="12"/>
        <v>1582063.5843099998</v>
      </c>
      <c r="Q68" s="56" t="e">
        <f>L68+M68+P68+#REF!+#REF!+#REF!+#REF!</f>
        <v>#REF!</v>
      </c>
      <c r="R68" s="30">
        <f t="shared" si="5"/>
        <v>95.233873695221959</v>
      </c>
      <c r="S68" s="30">
        <f t="shared" si="6"/>
        <v>98.238770372626036</v>
      </c>
    </row>
    <row r="69" spans="1:30" ht="25.5">
      <c r="A69" s="527"/>
      <c r="B69" s="527"/>
      <c r="C69" s="527"/>
      <c r="D69" s="518"/>
      <c r="E69" s="515"/>
      <c r="F69" s="1" t="s">
        <v>120</v>
      </c>
      <c r="G69" s="6">
        <v>855</v>
      </c>
      <c r="H69" s="6"/>
      <c r="I69" s="8"/>
      <c r="J69" s="8" t="s">
        <v>382</v>
      </c>
      <c r="K69" s="6"/>
      <c r="L69" s="30">
        <f>L88</f>
        <v>26527</v>
      </c>
      <c r="M69" s="54">
        <f t="shared" ref="M69:P69" si="13">M88</f>
        <v>53406.7</v>
      </c>
      <c r="N69" s="54">
        <f t="shared" si="13"/>
        <v>41460</v>
      </c>
      <c r="O69" s="54">
        <f t="shared" si="13"/>
        <v>27396.5</v>
      </c>
      <c r="P69" s="54">
        <f t="shared" si="13"/>
        <v>24005.700499999999</v>
      </c>
      <c r="Q69" s="56" t="e">
        <f>L69+M69+P69+#REF!+#REF!+#REF!+#REF!</f>
        <v>#REF!</v>
      </c>
      <c r="R69" s="30">
        <v>0</v>
      </c>
      <c r="S69" s="30">
        <v>0</v>
      </c>
    </row>
    <row r="70" spans="1:30" ht="38.25">
      <c r="A70" s="404" t="s">
        <v>110</v>
      </c>
      <c r="B70" s="404" t="s">
        <v>507</v>
      </c>
      <c r="C70" s="404" t="s">
        <v>7</v>
      </c>
      <c r="D70" s="6"/>
      <c r="E70" s="1" t="s">
        <v>470</v>
      </c>
      <c r="F70" s="1" t="s">
        <v>956</v>
      </c>
      <c r="G70" s="6">
        <v>843</v>
      </c>
      <c r="H70" s="6">
        <v>10</v>
      </c>
      <c r="I70" s="8" t="s">
        <v>9</v>
      </c>
      <c r="J70" s="8" t="s">
        <v>381</v>
      </c>
      <c r="K70" s="286" t="s">
        <v>472</v>
      </c>
      <c r="L70" s="32">
        <f>SUM(L71:L77)+0.05</f>
        <v>1093775.98</v>
      </c>
      <c r="M70" s="32">
        <v>1300674</v>
      </c>
      <c r="N70" s="32">
        <f>N71+N72+N73+N74+N75+N76+N77</f>
        <v>1341508</v>
      </c>
      <c r="O70" s="32">
        <f t="shared" ref="O70:P70" si="14">O71+O72+O73+O74+O75+O76+O77</f>
        <v>1278881.5999999999</v>
      </c>
      <c r="P70" s="32">
        <f t="shared" si="14"/>
        <v>1266533.6901</v>
      </c>
      <c r="Q70" s="56" t="e">
        <f>L70+M70+P70+#REF!+#REF!+#REF!+#REF!</f>
        <v>#REF!</v>
      </c>
      <c r="R70" s="30">
        <f t="shared" si="5"/>
        <v>94.411191740936317</v>
      </c>
      <c r="S70" s="30">
        <f t="shared" si="6"/>
        <v>99.03447591239096</v>
      </c>
    </row>
    <row r="71" spans="1:30" ht="51" customHeight="1">
      <c r="A71" s="404" t="s">
        <v>110</v>
      </c>
      <c r="B71" s="404" t="s">
        <v>8</v>
      </c>
      <c r="C71" s="404" t="s">
        <v>7</v>
      </c>
      <c r="D71" s="8" t="s">
        <v>7</v>
      </c>
      <c r="E71" s="57" t="s">
        <v>192</v>
      </c>
      <c r="F71" s="1" t="s">
        <v>956</v>
      </c>
      <c r="G71" s="392">
        <v>843</v>
      </c>
      <c r="H71" s="395" t="s">
        <v>51</v>
      </c>
      <c r="I71" s="395" t="s">
        <v>9</v>
      </c>
      <c r="J71" s="7" t="s">
        <v>622</v>
      </c>
      <c r="K71" s="8" t="s">
        <v>383</v>
      </c>
      <c r="L71" s="32">
        <v>5824.17</v>
      </c>
      <c r="M71" s="32">
        <v>9000</v>
      </c>
      <c r="N71" s="32">
        <f>'[2]без учета счетов бюджета'!$AO$44</f>
        <v>9000</v>
      </c>
      <c r="O71" s="32">
        <f>'[2]без учета счетов бюджета'!$AP$44</f>
        <v>9124.1</v>
      </c>
      <c r="P71" s="30">
        <f>'[2]без учета счетов бюджета'!$AQ$44</f>
        <v>9124.0626400000001</v>
      </c>
      <c r="Q71" s="56" t="e">
        <f>L71+M71+P71+#REF!+#REF!+#REF!+#REF!</f>
        <v>#REF!</v>
      </c>
      <c r="R71" s="30">
        <f t="shared" si="5"/>
        <v>101.37847377777778</v>
      </c>
      <c r="S71" s="30">
        <f t="shared" si="6"/>
        <v>99.99959053495688</v>
      </c>
    </row>
    <row r="72" spans="1:30" ht="38.25" customHeight="1">
      <c r="A72" s="404" t="s">
        <v>110</v>
      </c>
      <c r="B72" s="404" t="s">
        <v>8</v>
      </c>
      <c r="C72" s="404" t="s">
        <v>7</v>
      </c>
      <c r="D72" s="8" t="s">
        <v>8</v>
      </c>
      <c r="E72" s="405" t="s">
        <v>24</v>
      </c>
      <c r="F72" s="1" t="s">
        <v>956</v>
      </c>
      <c r="G72" s="6">
        <v>843</v>
      </c>
      <c r="H72" s="8" t="s">
        <v>51</v>
      </c>
      <c r="I72" s="8" t="s">
        <v>9</v>
      </c>
      <c r="J72" s="7" t="s">
        <v>621</v>
      </c>
      <c r="K72" s="286" t="s">
        <v>370</v>
      </c>
      <c r="L72" s="32">
        <v>320736.36</v>
      </c>
      <c r="M72" s="32">
        <f>348327.3+7781.9</f>
        <v>356109.2</v>
      </c>
      <c r="N72" s="32">
        <f>'[2]без учета счетов бюджета'!$AO$45</f>
        <v>379481</v>
      </c>
      <c r="O72" s="32">
        <f>'[2]без учета счетов бюджета'!$AP$45</f>
        <v>335425.8</v>
      </c>
      <c r="P72" s="30">
        <f>'[2]без учета счетов бюджета'!$AQ$45</f>
        <v>326585.35834999999</v>
      </c>
      <c r="Q72" s="56" t="e">
        <f>L72+M72+P72+#REF!+#REF!+#REF!+#REF!</f>
        <v>#REF!</v>
      </c>
      <c r="R72" s="30">
        <f t="shared" si="5"/>
        <v>86.06105664051691</v>
      </c>
      <c r="S72" s="30">
        <f t="shared" si="6"/>
        <v>97.364412144205971</v>
      </c>
    </row>
    <row r="73" spans="1:30" ht="38.25" customHeight="1">
      <c r="A73" s="404" t="s">
        <v>110</v>
      </c>
      <c r="B73" s="404" t="s">
        <v>8</v>
      </c>
      <c r="C73" s="404" t="s">
        <v>7</v>
      </c>
      <c r="D73" s="8" t="s">
        <v>9</v>
      </c>
      <c r="E73" s="1" t="s">
        <v>263</v>
      </c>
      <c r="F73" s="1" t="s">
        <v>956</v>
      </c>
      <c r="G73" s="6">
        <v>843</v>
      </c>
      <c r="H73" s="8" t="s">
        <v>51</v>
      </c>
      <c r="I73" s="8" t="s">
        <v>9</v>
      </c>
      <c r="J73" s="7" t="s">
        <v>620</v>
      </c>
      <c r="K73" s="8" t="s">
        <v>370</v>
      </c>
      <c r="L73" s="32">
        <v>28086.7</v>
      </c>
      <c r="M73" s="32">
        <f>33203.6-3900</f>
        <v>29303.599999999999</v>
      </c>
      <c r="N73" s="32">
        <f>'[2]без учета счетов бюджета'!$AO$43</f>
        <v>34104.800000000003</v>
      </c>
      <c r="O73" s="32">
        <f>'[2]без учета счетов бюджета'!$AP$43</f>
        <v>25234.9</v>
      </c>
      <c r="P73" s="30">
        <f>'[2]без учета счетов бюджета'!$AQ$43</f>
        <v>24544.993460000002</v>
      </c>
      <c r="Q73" s="56" t="e">
        <f>L73+M73+P73+#REF!+#REF!+#REF!+#REF!</f>
        <v>#REF!</v>
      </c>
      <c r="R73" s="30">
        <f t="shared" si="5"/>
        <v>71.9693223827731</v>
      </c>
      <c r="S73" s="30">
        <f t="shared" si="6"/>
        <v>97.266061922179205</v>
      </c>
    </row>
    <row r="74" spans="1:30" ht="63.75" customHeight="1">
      <c r="A74" s="7" t="s">
        <v>110</v>
      </c>
      <c r="B74" s="8" t="s">
        <v>8</v>
      </c>
      <c r="C74" s="8" t="s">
        <v>7</v>
      </c>
      <c r="D74" s="7" t="s">
        <v>10</v>
      </c>
      <c r="E74" s="1" t="s">
        <v>265</v>
      </c>
      <c r="F74" s="1" t="s">
        <v>956</v>
      </c>
      <c r="G74" s="6">
        <v>843</v>
      </c>
      <c r="H74" s="8" t="s">
        <v>51</v>
      </c>
      <c r="I74" s="8" t="s">
        <v>9</v>
      </c>
      <c r="J74" s="7" t="s">
        <v>619</v>
      </c>
      <c r="K74" s="7" t="s">
        <v>384</v>
      </c>
      <c r="L74" s="32">
        <v>541542</v>
      </c>
      <c r="M74" s="32">
        <v>595812.19999999995</v>
      </c>
      <c r="N74" s="32">
        <f>'[2]без учета счетов бюджета'!$AO$48</f>
        <v>606901.30000000005</v>
      </c>
      <c r="O74" s="32">
        <f>'[2]без учета счетов бюджета'!$AP$48</f>
        <v>589474.6</v>
      </c>
      <c r="P74" s="30">
        <f>'[2]без учета счетов бюджета'!$AQ$48</f>
        <v>588379.19772000005</v>
      </c>
      <c r="Q74" s="56" t="e">
        <f>L74+M74+P74+#REF!+#REF!+#REF!+#REF!</f>
        <v>#REF!</v>
      </c>
      <c r="R74" s="30">
        <f t="shared" si="5"/>
        <v>96.948086570254503</v>
      </c>
      <c r="S74" s="30">
        <f t="shared" si="6"/>
        <v>99.814173116195349</v>
      </c>
    </row>
    <row r="75" spans="1:30" ht="37.5" customHeight="1">
      <c r="A75" s="393" t="s">
        <v>110</v>
      </c>
      <c r="B75" s="404" t="s">
        <v>8</v>
      </c>
      <c r="C75" s="393" t="s">
        <v>7</v>
      </c>
      <c r="D75" s="8" t="s">
        <v>33</v>
      </c>
      <c r="E75" s="44" t="s">
        <v>272</v>
      </c>
      <c r="F75" s="1" t="s">
        <v>956</v>
      </c>
      <c r="G75" s="6">
        <v>843</v>
      </c>
      <c r="H75" s="8" t="s">
        <v>51</v>
      </c>
      <c r="I75" s="8" t="s">
        <v>9</v>
      </c>
      <c r="J75" s="7" t="s">
        <v>623</v>
      </c>
      <c r="K75" s="7" t="s">
        <v>370</v>
      </c>
      <c r="L75" s="32">
        <v>181731.6</v>
      </c>
      <c r="M75" s="31">
        <f>255900+36931.8</f>
        <v>292831.8</v>
      </c>
      <c r="N75" s="31">
        <f>'[2]без учета счетов бюджета'!$AO$46</f>
        <v>293100</v>
      </c>
      <c r="O75" s="31">
        <f>'[2]без учета счетов бюджета'!$AP$46</f>
        <v>305630.90000000002</v>
      </c>
      <c r="P75" s="30">
        <f>'[2]без учета счетов бюджета'!$AQ$46</f>
        <v>305630.39782999997</v>
      </c>
      <c r="Q75" s="56" t="e">
        <f>L75+M75+P75+#REF!+#REF!+#REF!+#REF!</f>
        <v>#REF!</v>
      </c>
      <c r="R75" s="30">
        <f t="shared" si="5"/>
        <v>104.27512720232002</v>
      </c>
      <c r="S75" s="30">
        <f t="shared" si="6"/>
        <v>99.999835693969416</v>
      </c>
    </row>
    <row r="76" spans="1:30" ht="63" customHeight="1">
      <c r="A76" s="404" t="s">
        <v>110</v>
      </c>
      <c r="B76" s="404" t="s">
        <v>8</v>
      </c>
      <c r="C76" s="404" t="s">
        <v>7</v>
      </c>
      <c r="D76" s="8" t="s">
        <v>25</v>
      </c>
      <c r="E76" s="405" t="s">
        <v>275</v>
      </c>
      <c r="F76" s="1" t="s">
        <v>956</v>
      </c>
      <c r="G76" s="6">
        <v>843</v>
      </c>
      <c r="H76" s="286">
        <v>10</v>
      </c>
      <c r="I76" s="7" t="s">
        <v>9</v>
      </c>
      <c r="J76" s="7" t="s">
        <v>624</v>
      </c>
      <c r="K76" s="7" t="s">
        <v>370</v>
      </c>
      <c r="L76" s="32">
        <v>14715.9</v>
      </c>
      <c r="M76" s="31">
        <v>24438.9</v>
      </c>
      <c r="N76" s="31">
        <f>'[2]без учета счетов бюджета'!$AO$47</f>
        <v>17620.900000000001</v>
      </c>
      <c r="O76" s="31">
        <f>'[2]без учета счетов бюджета'!$AP$47</f>
        <v>12618.3</v>
      </c>
      <c r="P76" s="30">
        <f>'[2]без учета счетов бюджета'!$AQ$47</f>
        <v>10897.8801</v>
      </c>
      <c r="Q76" s="56" t="e">
        <f>L76+M76+P76+#REF!+#REF!+#REF!+#REF!</f>
        <v>#REF!</v>
      </c>
      <c r="R76" s="30">
        <f t="shared" si="5"/>
        <v>61.846330777656078</v>
      </c>
      <c r="S76" s="30">
        <f t="shared" si="6"/>
        <v>86.365676041939096</v>
      </c>
    </row>
    <row r="77" spans="1:30" ht="51" customHeight="1">
      <c r="A77" s="404" t="s">
        <v>110</v>
      </c>
      <c r="B77" s="404" t="s">
        <v>8</v>
      </c>
      <c r="C77" s="404" t="s">
        <v>7</v>
      </c>
      <c r="D77" s="8" t="s">
        <v>6</v>
      </c>
      <c r="E77" s="405" t="s">
        <v>277</v>
      </c>
      <c r="F77" s="1" t="s">
        <v>956</v>
      </c>
      <c r="G77" s="6">
        <v>843</v>
      </c>
      <c r="H77" s="8" t="s">
        <v>51</v>
      </c>
      <c r="I77" s="8" t="s">
        <v>9</v>
      </c>
      <c r="J77" s="7" t="s">
        <v>625</v>
      </c>
      <c r="K77" s="7" t="s">
        <v>387</v>
      </c>
      <c r="L77" s="32">
        <v>1139.2</v>
      </c>
      <c r="M77" s="32">
        <v>1281</v>
      </c>
      <c r="N77" s="32">
        <f>'[2]без учета счетов бюджета'!$AO$42</f>
        <v>1300</v>
      </c>
      <c r="O77" s="32">
        <f>'[2]без учета счетов бюджета'!$AP$42</f>
        <v>1373</v>
      </c>
      <c r="P77" s="30">
        <f>'[2]без учета счетов бюджета'!$AQ$42</f>
        <v>1371.8</v>
      </c>
      <c r="Q77" s="56" t="e">
        <f>L77+M77+P77+#REF!+#REF!+#REF!+#REF!</f>
        <v>#REF!</v>
      </c>
      <c r="R77" s="30">
        <f t="shared" si="5"/>
        <v>105.52307692307691</v>
      </c>
      <c r="S77" s="30">
        <f t="shared" si="6"/>
        <v>99.912600145666417</v>
      </c>
    </row>
    <row r="78" spans="1:30" ht="38.25">
      <c r="A78" s="404" t="s">
        <v>110</v>
      </c>
      <c r="B78" s="404" t="s">
        <v>507</v>
      </c>
      <c r="C78" s="404" t="s">
        <v>8</v>
      </c>
      <c r="D78" s="8"/>
      <c r="E78" s="405" t="s">
        <v>279</v>
      </c>
      <c r="F78" s="1" t="s">
        <v>956</v>
      </c>
      <c r="G78" s="6">
        <v>843</v>
      </c>
      <c r="H78" s="8" t="s">
        <v>51</v>
      </c>
      <c r="I78" s="8" t="s">
        <v>9</v>
      </c>
      <c r="J78" s="7" t="s">
        <v>280</v>
      </c>
      <c r="K78" s="7" t="s">
        <v>388</v>
      </c>
      <c r="L78" s="32" t="e">
        <f>L79+L80+#REF!</f>
        <v>#REF!</v>
      </c>
      <c r="M78" s="32">
        <v>960</v>
      </c>
      <c r="N78" s="32">
        <f>N79+N80</f>
        <v>1400</v>
      </c>
      <c r="O78" s="32">
        <f t="shared" ref="O78:P78" si="15">O79+O80</f>
        <v>1180</v>
      </c>
      <c r="P78" s="32">
        <f t="shared" si="15"/>
        <v>1140</v>
      </c>
      <c r="Q78" s="56" t="e">
        <f>L78+M78+P78+#REF!+#REF!+#REF!+#REF!</f>
        <v>#REF!</v>
      </c>
      <c r="R78" s="30">
        <f t="shared" si="5"/>
        <v>81.428571428571431</v>
      </c>
      <c r="S78" s="30">
        <f t="shared" si="6"/>
        <v>96.610169491525411</v>
      </c>
    </row>
    <row r="79" spans="1:30" ht="38.25" customHeight="1">
      <c r="A79" s="404" t="s">
        <v>110</v>
      </c>
      <c r="B79" s="404" t="s">
        <v>8</v>
      </c>
      <c r="C79" s="404" t="s">
        <v>8</v>
      </c>
      <c r="D79" s="7" t="s">
        <v>7</v>
      </c>
      <c r="E79" s="44" t="s">
        <v>281</v>
      </c>
      <c r="F79" s="1" t="s">
        <v>956</v>
      </c>
      <c r="G79" s="6">
        <v>843</v>
      </c>
      <c r="H79" s="8" t="s">
        <v>51</v>
      </c>
      <c r="I79" s="8" t="s">
        <v>9</v>
      </c>
      <c r="J79" s="7" t="s">
        <v>635</v>
      </c>
      <c r="K79" s="7" t="s">
        <v>370</v>
      </c>
      <c r="L79" s="32">
        <v>1020</v>
      </c>
      <c r="M79" s="32">
        <v>1050</v>
      </c>
      <c r="N79" s="32">
        <f>'[2]без учета счетов бюджета'!$AO$49</f>
        <v>700</v>
      </c>
      <c r="O79" s="32">
        <f>'[2]без учета счетов бюджета'!$AP$49</f>
        <v>700</v>
      </c>
      <c r="P79" s="30">
        <f>'[2]без учета счетов бюджета'!$AQ$49</f>
        <v>660</v>
      </c>
      <c r="Q79" s="56" t="e">
        <f>L79+M79+P79+#REF!+#REF!+#REF!+#REF!</f>
        <v>#REF!</v>
      </c>
      <c r="R79" s="30">
        <f t="shared" si="5"/>
        <v>94.285714285714292</v>
      </c>
      <c r="S79" s="30">
        <f t="shared" si="6"/>
        <v>94.285714285714292</v>
      </c>
    </row>
    <row r="80" spans="1:30" ht="38.25" customHeight="1">
      <c r="A80" s="404" t="s">
        <v>110</v>
      </c>
      <c r="B80" s="404" t="s">
        <v>8</v>
      </c>
      <c r="C80" s="404" t="s">
        <v>8</v>
      </c>
      <c r="D80" s="7" t="s">
        <v>8</v>
      </c>
      <c r="E80" s="44" t="s">
        <v>283</v>
      </c>
      <c r="F80" s="1" t="s">
        <v>956</v>
      </c>
      <c r="G80" s="6">
        <v>843</v>
      </c>
      <c r="H80" s="8" t="s">
        <v>51</v>
      </c>
      <c r="I80" s="8" t="s">
        <v>9</v>
      </c>
      <c r="J80" s="7" t="s">
        <v>284</v>
      </c>
      <c r="K80" s="7" t="s">
        <v>388</v>
      </c>
      <c r="L80" s="32"/>
      <c r="M80" s="31">
        <v>525</v>
      </c>
      <c r="N80" s="31">
        <f>'[2]без учета счетов бюджета'!$AO$50</f>
        <v>700</v>
      </c>
      <c r="O80" s="31">
        <f>'[2]без учета счетов бюджета'!$AP$50</f>
        <v>480</v>
      </c>
      <c r="P80" s="30">
        <f>'[2]без учета счетов бюджета'!$AQ$50</f>
        <v>480</v>
      </c>
      <c r="Q80" s="56" t="e">
        <f>L80+M80+P80+#REF!+#REF!+#REF!+#REF!</f>
        <v>#REF!</v>
      </c>
      <c r="R80" s="30">
        <f t="shared" si="5"/>
        <v>68.571428571428569</v>
      </c>
      <c r="S80" s="30">
        <f t="shared" si="6"/>
        <v>100</v>
      </c>
    </row>
    <row r="81" spans="1:30" ht="38.25">
      <c r="A81" s="404" t="s">
        <v>110</v>
      </c>
      <c r="B81" s="404" t="s">
        <v>507</v>
      </c>
      <c r="C81" s="404" t="s">
        <v>9</v>
      </c>
      <c r="D81" s="284"/>
      <c r="E81" s="44" t="s">
        <v>394</v>
      </c>
      <c r="F81" s="1" t="s">
        <v>956</v>
      </c>
      <c r="G81" s="6">
        <v>843</v>
      </c>
      <c r="H81" s="8" t="s">
        <v>51</v>
      </c>
      <c r="I81" s="8" t="s">
        <v>9</v>
      </c>
      <c r="J81" s="7" t="s">
        <v>285</v>
      </c>
      <c r="K81" s="8" t="s">
        <v>473</v>
      </c>
      <c r="L81" s="32">
        <f>L82</f>
        <v>7849.5</v>
      </c>
      <c r="M81" s="32">
        <f>M82</f>
        <v>9168.2999999999993</v>
      </c>
      <c r="N81" s="32">
        <f>N82</f>
        <v>9205.9</v>
      </c>
      <c r="O81" s="32">
        <f t="shared" ref="O81:P81" si="16">O82</f>
        <v>15929.4</v>
      </c>
      <c r="P81" s="32">
        <f t="shared" si="16"/>
        <v>15929.4</v>
      </c>
      <c r="Q81" s="56" t="e">
        <f>L81+M81+P81+#REF!+#REF!+#REF!+#REF!</f>
        <v>#REF!</v>
      </c>
      <c r="R81" s="30">
        <f t="shared" si="5"/>
        <v>173.03468427856049</v>
      </c>
      <c r="S81" s="30">
        <f t="shared" si="6"/>
        <v>100.00000000000001</v>
      </c>
    </row>
    <row r="82" spans="1:30" ht="51" customHeight="1">
      <c r="A82" s="393" t="s">
        <v>110</v>
      </c>
      <c r="B82" s="404" t="s">
        <v>8</v>
      </c>
      <c r="C82" s="393" t="s">
        <v>9</v>
      </c>
      <c r="D82" s="7" t="s">
        <v>7</v>
      </c>
      <c r="E82" s="44" t="s">
        <v>191</v>
      </c>
      <c r="F82" s="1" t="s">
        <v>956</v>
      </c>
      <c r="G82" s="6">
        <v>843</v>
      </c>
      <c r="H82" s="7" t="s">
        <v>6</v>
      </c>
      <c r="I82" s="8" t="s">
        <v>6</v>
      </c>
      <c r="J82" s="7" t="s">
        <v>636</v>
      </c>
      <c r="K82" s="286">
        <v>621</v>
      </c>
      <c r="L82" s="32">
        <v>7849.5</v>
      </c>
      <c r="M82" s="32">
        <f>8503+665.3</f>
        <v>9168.2999999999993</v>
      </c>
      <c r="N82" s="32">
        <f>'[2]без учета счетов бюджета'!$AO$51</f>
        <v>9205.9</v>
      </c>
      <c r="O82" s="32">
        <f>'[2]без учета счетов бюджета'!$AP$51</f>
        <v>15929.4</v>
      </c>
      <c r="P82" s="30">
        <f>'[2]без учета счетов бюджета'!$AQ$51</f>
        <v>15929.4</v>
      </c>
      <c r="Q82" s="56" t="e">
        <f>L82+M82+P82+#REF!+#REF!+#REF!+#REF!</f>
        <v>#REF!</v>
      </c>
      <c r="R82" s="30">
        <f t="shared" si="5"/>
        <v>173.03468427856049</v>
      </c>
      <c r="S82" s="30">
        <f t="shared" si="6"/>
        <v>100.00000000000001</v>
      </c>
    </row>
    <row r="83" spans="1:30" ht="38.25">
      <c r="A83" s="404" t="s">
        <v>110</v>
      </c>
      <c r="B83" s="404" t="s">
        <v>507</v>
      </c>
      <c r="C83" s="404" t="s">
        <v>10</v>
      </c>
      <c r="D83" s="6"/>
      <c r="E83" s="44" t="s">
        <v>287</v>
      </c>
      <c r="F83" s="1" t="s">
        <v>956</v>
      </c>
      <c r="G83" s="6">
        <v>843</v>
      </c>
      <c r="H83" s="6">
        <v>10</v>
      </c>
      <c r="I83" s="8" t="s">
        <v>10</v>
      </c>
      <c r="J83" s="8" t="s">
        <v>288</v>
      </c>
      <c r="K83" s="6">
        <v>240</v>
      </c>
      <c r="L83" s="32">
        <f>SUM(L84:L85)</f>
        <v>0</v>
      </c>
      <c r="M83" s="32">
        <v>0</v>
      </c>
      <c r="N83" s="32">
        <f>N84+N85</f>
        <v>149.69999999999999</v>
      </c>
      <c r="O83" s="32">
        <f t="shared" ref="O83:Q83" si="17">O84+O85</f>
        <v>137.6</v>
      </c>
      <c r="P83" s="32">
        <f t="shared" si="17"/>
        <v>0</v>
      </c>
      <c r="Q83" s="32" t="e">
        <f t="shared" si="17"/>
        <v>#REF!</v>
      </c>
      <c r="R83" s="30">
        <f t="shared" si="5"/>
        <v>0</v>
      </c>
      <c r="S83" s="30">
        <f t="shared" si="6"/>
        <v>0</v>
      </c>
    </row>
    <row r="84" spans="1:30" ht="178.5" customHeight="1">
      <c r="A84" s="404" t="s">
        <v>110</v>
      </c>
      <c r="B84" s="404" t="s">
        <v>8</v>
      </c>
      <c r="C84" s="404" t="s">
        <v>10</v>
      </c>
      <c r="D84" s="8" t="s">
        <v>7</v>
      </c>
      <c r="E84" s="44" t="s">
        <v>289</v>
      </c>
      <c r="F84" s="1" t="s">
        <v>956</v>
      </c>
      <c r="G84" s="6">
        <v>843</v>
      </c>
      <c r="H84" s="286">
        <v>10</v>
      </c>
      <c r="I84" s="8" t="s">
        <v>10</v>
      </c>
      <c r="J84" s="7" t="s">
        <v>637</v>
      </c>
      <c r="K84" s="286" t="s">
        <v>389</v>
      </c>
      <c r="L84" s="32">
        <v>0</v>
      </c>
      <c r="M84" s="31">
        <v>137.5</v>
      </c>
      <c r="N84" s="31">
        <f>'[2]без учета счетов бюджета'!$AO$53</f>
        <v>137.6</v>
      </c>
      <c r="O84" s="31">
        <f>'[2]без учета счетов бюджета'!$AP$53</f>
        <v>137.6</v>
      </c>
      <c r="P84" s="30">
        <f>'[2]без учета счетов бюджета'!$AQ$53</f>
        <v>0</v>
      </c>
      <c r="Q84" s="56" t="e">
        <f>L84+M84+P84+#REF!+#REF!+#REF!+#REF!</f>
        <v>#REF!</v>
      </c>
      <c r="R84" s="30">
        <f t="shared" si="5"/>
        <v>0</v>
      </c>
      <c r="S84" s="30">
        <f t="shared" si="6"/>
        <v>0</v>
      </c>
    </row>
    <row r="85" spans="1:30" ht="76.5" customHeight="1">
      <c r="A85" s="404" t="s">
        <v>110</v>
      </c>
      <c r="B85" s="404" t="s">
        <v>8</v>
      </c>
      <c r="C85" s="404" t="s">
        <v>10</v>
      </c>
      <c r="D85" s="8" t="s">
        <v>8</v>
      </c>
      <c r="E85" s="44" t="s">
        <v>292</v>
      </c>
      <c r="F85" s="1" t="s">
        <v>956</v>
      </c>
      <c r="G85" s="6">
        <v>843</v>
      </c>
      <c r="H85" s="286">
        <v>10</v>
      </c>
      <c r="I85" s="8" t="s">
        <v>10</v>
      </c>
      <c r="J85" s="7" t="s">
        <v>638</v>
      </c>
      <c r="K85" s="286" t="s">
        <v>390</v>
      </c>
      <c r="L85" s="32">
        <v>0</v>
      </c>
      <c r="M85" s="31">
        <f>12.1-3</f>
        <v>9.1</v>
      </c>
      <c r="N85" s="31">
        <f>'[2]без учета счетов бюджета'!$AO$52</f>
        <v>12.1</v>
      </c>
      <c r="O85" s="31"/>
      <c r="P85" s="30"/>
      <c r="Q85" s="56" t="e">
        <f>L85+M85+P85+#REF!+#REF!+#REF!+#REF!</f>
        <v>#REF!</v>
      </c>
      <c r="R85" s="30">
        <f t="shared" si="5"/>
        <v>0</v>
      </c>
      <c r="S85" s="30">
        <v>0</v>
      </c>
    </row>
    <row r="86" spans="1:30" ht="15" customHeight="1">
      <c r="A86" s="516" t="s">
        <v>110</v>
      </c>
      <c r="B86" s="516" t="s">
        <v>507</v>
      </c>
      <c r="C86" s="516" t="s">
        <v>25</v>
      </c>
      <c r="D86" s="503"/>
      <c r="E86" s="519" t="s">
        <v>295</v>
      </c>
      <c r="F86" s="1" t="s">
        <v>48</v>
      </c>
      <c r="G86" s="6"/>
      <c r="H86" s="286"/>
      <c r="I86" s="8"/>
      <c r="J86" s="7"/>
      <c r="K86" s="286"/>
      <c r="L86" s="32" t="e">
        <f>L87+L88+#REF!</f>
        <v>#REF!</v>
      </c>
      <c r="M86" s="32" t="e">
        <f>M87+M88+#REF!</f>
        <v>#REF!</v>
      </c>
      <c r="N86" s="32">
        <f t="shared" ref="N86:O86" si="18">N87+N88</f>
        <v>349461.8</v>
      </c>
      <c r="O86" s="32">
        <f t="shared" si="18"/>
        <v>340719.8</v>
      </c>
      <c r="P86" s="32">
        <f>P87+P88</f>
        <v>321750.85284999997</v>
      </c>
      <c r="Q86" s="56" t="e">
        <f>L86+M86+P86+#REF!+#REF!+#REF!+#REF!</f>
        <v>#REF!</v>
      </c>
      <c r="R86" s="30">
        <f t="shared" si="5"/>
        <v>92.070393058697675</v>
      </c>
      <c r="S86" s="30">
        <f t="shared" si="6"/>
        <v>94.432684232028777</v>
      </c>
    </row>
    <row r="87" spans="1:30" ht="38.25">
      <c r="A87" s="517"/>
      <c r="B87" s="517"/>
      <c r="C87" s="517"/>
      <c r="D87" s="518"/>
      <c r="E87" s="520"/>
      <c r="F87" s="1" t="s">
        <v>956</v>
      </c>
      <c r="G87" s="6">
        <v>843</v>
      </c>
      <c r="H87" s="7" t="s">
        <v>51</v>
      </c>
      <c r="I87" s="8" t="s">
        <v>9</v>
      </c>
      <c r="J87" s="7" t="s">
        <v>474</v>
      </c>
      <c r="K87" s="286" t="s">
        <v>475</v>
      </c>
      <c r="L87" s="32" t="e">
        <f>34881.7+#REF!+#REF!-7098.6</f>
        <v>#REF!</v>
      </c>
      <c r="M87" s="31">
        <v>295368.2</v>
      </c>
      <c r="N87" s="31">
        <f>N89+N90+N91</f>
        <v>308001.8</v>
      </c>
      <c r="O87" s="31">
        <f t="shared" ref="O87:P87" si="19">O89+O90+O91</f>
        <v>313323.3</v>
      </c>
      <c r="P87" s="31">
        <f t="shared" si="19"/>
        <v>297745.15234999999</v>
      </c>
      <c r="Q87" s="56" t="e">
        <f>L87+M87+P87+#REF!+#REF!+#REF!+#REF!</f>
        <v>#REF!</v>
      </c>
      <c r="R87" s="30">
        <f t="shared" ref="R87:R136" si="20">P87/N87%</f>
        <v>96.669939055550969</v>
      </c>
      <c r="S87" s="30">
        <f t="shared" ref="S87:S136" si="21">P87/O87%</f>
        <v>95.0280915431441</v>
      </c>
    </row>
    <row r="88" spans="1:30" ht="25.5">
      <c r="A88" s="517"/>
      <c r="B88" s="517"/>
      <c r="C88" s="517"/>
      <c r="D88" s="518"/>
      <c r="E88" s="520"/>
      <c r="F88" s="1" t="s">
        <v>120</v>
      </c>
      <c r="G88" s="6">
        <v>855</v>
      </c>
      <c r="H88" s="7" t="s">
        <v>35</v>
      </c>
      <c r="I88" s="8" t="s">
        <v>35</v>
      </c>
      <c r="J88" s="7" t="s">
        <v>476</v>
      </c>
      <c r="K88" s="286">
        <v>320</v>
      </c>
      <c r="L88" s="32">
        <v>26527</v>
      </c>
      <c r="M88" s="53">
        <v>53406.7</v>
      </c>
      <c r="N88" s="53">
        <v>41460</v>
      </c>
      <c r="O88" s="53">
        <v>27396.5</v>
      </c>
      <c r="P88" s="54">
        <v>24005.700499999999</v>
      </c>
      <c r="Q88" s="56" t="e">
        <f>L88+M88+P88+#REF!+#REF!+#REF!+#REF!</f>
        <v>#REF!</v>
      </c>
      <c r="R88" s="30">
        <v>0</v>
      </c>
      <c r="S88" s="30">
        <v>0</v>
      </c>
      <c r="AD88" s="36" t="s">
        <v>570</v>
      </c>
    </row>
    <row r="89" spans="1:30" ht="38.25" customHeight="1">
      <c r="A89" s="58" t="s">
        <v>110</v>
      </c>
      <c r="B89" s="58" t="s">
        <v>8</v>
      </c>
      <c r="C89" s="58" t="s">
        <v>25</v>
      </c>
      <c r="D89" s="58" t="s">
        <v>7</v>
      </c>
      <c r="E89" s="44" t="s">
        <v>296</v>
      </c>
      <c r="F89" s="1" t="s">
        <v>956</v>
      </c>
      <c r="G89" s="6">
        <v>843</v>
      </c>
      <c r="H89" s="7" t="s">
        <v>51</v>
      </c>
      <c r="I89" s="8" t="s">
        <v>9</v>
      </c>
      <c r="J89" s="7" t="s">
        <v>297</v>
      </c>
      <c r="K89" s="286" t="s">
        <v>391</v>
      </c>
      <c r="L89" s="32"/>
      <c r="M89" s="31">
        <f>6672-205.5</f>
        <v>6466.5</v>
      </c>
      <c r="N89" s="31">
        <f>'[2]без учета счетов бюджета'!$AO$56</f>
        <v>6672</v>
      </c>
      <c r="O89" s="31">
        <f>'[2]без учета счетов бюджета'!$AP$56</f>
        <v>6393.5</v>
      </c>
      <c r="P89" s="30">
        <f>'[2]без учета счетов бюджета'!$AQ$56</f>
        <v>5648.6380199999994</v>
      </c>
      <c r="Q89" s="56" t="e">
        <f>L89+M89+P89+#REF!+#REF!+#REF!+#REF!</f>
        <v>#REF!</v>
      </c>
      <c r="R89" s="30">
        <f t="shared" si="20"/>
        <v>84.661840827338125</v>
      </c>
      <c r="S89" s="30">
        <f t="shared" si="21"/>
        <v>88.349699225776163</v>
      </c>
    </row>
    <row r="90" spans="1:30" ht="38.25" customHeight="1">
      <c r="A90" s="58" t="s">
        <v>110</v>
      </c>
      <c r="B90" s="58" t="s">
        <v>8</v>
      </c>
      <c r="C90" s="58" t="s">
        <v>25</v>
      </c>
      <c r="D90" s="58" t="s">
        <v>8</v>
      </c>
      <c r="E90" s="44" t="s">
        <v>298</v>
      </c>
      <c r="F90" s="1" t="s">
        <v>956</v>
      </c>
      <c r="G90" s="6">
        <v>843</v>
      </c>
      <c r="H90" s="7" t="s">
        <v>51</v>
      </c>
      <c r="I90" s="8" t="s">
        <v>10</v>
      </c>
      <c r="J90" s="7" t="s">
        <v>300</v>
      </c>
      <c r="K90" s="286">
        <v>530</v>
      </c>
      <c r="L90" s="32"/>
      <c r="M90" s="31">
        <f>245582.7-2100+29719</f>
        <v>273201.7</v>
      </c>
      <c r="N90" s="31">
        <f>'[2]без учета счетов бюджета'!$AO$54</f>
        <v>281329.8</v>
      </c>
      <c r="O90" s="31">
        <f>'[2]без учета счетов бюджета'!$AP$54</f>
        <v>286929.8</v>
      </c>
      <c r="P90" s="30">
        <f>'[2]без учета счетов бюджета'!$AQ$54</f>
        <v>272096.51432999998</v>
      </c>
      <c r="Q90" s="56" t="e">
        <f>L90+M90+P90+#REF!+#REF!+#REF!+#REF!</f>
        <v>#REF!</v>
      </c>
      <c r="R90" s="30">
        <f t="shared" si="20"/>
        <v>96.717985200998967</v>
      </c>
      <c r="S90" s="30">
        <f t="shared" si="21"/>
        <v>94.830343286058124</v>
      </c>
    </row>
    <row r="91" spans="1:30" ht="63.75" customHeight="1">
      <c r="A91" s="58" t="s">
        <v>110</v>
      </c>
      <c r="B91" s="58" t="s">
        <v>8</v>
      </c>
      <c r="C91" s="58" t="s">
        <v>25</v>
      </c>
      <c r="D91" s="58" t="s">
        <v>9</v>
      </c>
      <c r="E91" s="44" t="s">
        <v>299</v>
      </c>
      <c r="F91" s="1" t="s">
        <v>956</v>
      </c>
      <c r="G91" s="6">
        <v>843</v>
      </c>
      <c r="H91" s="7" t="s">
        <v>51</v>
      </c>
      <c r="I91" s="8" t="s">
        <v>9</v>
      </c>
      <c r="J91" s="7" t="s">
        <v>301</v>
      </c>
      <c r="K91" s="286">
        <v>530</v>
      </c>
      <c r="L91" s="32"/>
      <c r="M91" s="31">
        <v>20001</v>
      </c>
      <c r="N91" s="31">
        <f>'[2]без учета счетов бюджета'!$AO$55</f>
        <v>20000</v>
      </c>
      <c r="O91" s="31">
        <f>'[2]без учета счетов бюджета'!$AP$55</f>
        <v>20000</v>
      </c>
      <c r="P91" s="31">
        <f>'[2]без учета счетов бюджета'!$AQ$55</f>
        <v>20000</v>
      </c>
      <c r="Q91" s="56" t="e">
        <f>L91+M91+P91+#REF!+#REF!+#REF!+#REF!</f>
        <v>#REF!</v>
      </c>
      <c r="R91" s="30">
        <f t="shared" si="20"/>
        <v>100</v>
      </c>
      <c r="S91" s="30">
        <f t="shared" si="21"/>
        <v>100</v>
      </c>
    </row>
    <row r="92" spans="1:30" ht="38.25">
      <c r="A92" s="398" t="s">
        <v>110</v>
      </c>
      <c r="B92" s="398" t="s">
        <v>507</v>
      </c>
      <c r="C92" s="398" t="s">
        <v>6</v>
      </c>
      <c r="D92" s="398"/>
      <c r="E92" s="44" t="s">
        <v>302</v>
      </c>
      <c r="F92" s="1" t="s">
        <v>956</v>
      </c>
      <c r="G92" s="6">
        <v>843</v>
      </c>
      <c r="H92" s="7" t="s">
        <v>51</v>
      </c>
      <c r="I92" s="8" t="s">
        <v>8</v>
      </c>
      <c r="J92" s="7" t="s">
        <v>307</v>
      </c>
      <c r="K92" s="286">
        <v>320</v>
      </c>
      <c r="L92" s="31">
        <f>L93+L94+L95+L96</f>
        <v>0</v>
      </c>
      <c r="M92" s="31">
        <v>655.6</v>
      </c>
      <c r="N92" s="31">
        <f>N93+N94+N95+N96</f>
        <v>975</v>
      </c>
      <c r="O92" s="31">
        <f t="shared" ref="O92:P92" si="22">O93+O94+O95+O96</f>
        <v>974.99999999999989</v>
      </c>
      <c r="P92" s="31">
        <f t="shared" si="22"/>
        <v>715.34186</v>
      </c>
      <c r="Q92" s="56" t="e">
        <f>L92+M92+P92+#REF!+#REF!+#REF!+#REF!</f>
        <v>#REF!</v>
      </c>
      <c r="R92" s="30">
        <f t="shared" si="20"/>
        <v>73.368395897435903</v>
      </c>
      <c r="S92" s="30">
        <f t="shared" si="21"/>
        <v>73.368395897435917</v>
      </c>
    </row>
    <row r="93" spans="1:30" ht="38.25" customHeight="1">
      <c r="A93" s="398" t="s">
        <v>110</v>
      </c>
      <c r="B93" s="398" t="s">
        <v>8</v>
      </c>
      <c r="C93" s="398" t="s">
        <v>6</v>
      </c>
      <c r="D93" s="398" t="s">
        <v>7</v>
      </c>
      <c r="E93" s="44" t="s">
        <v>303</v>
      </c>
      <c r="F93" s="1" t="s">
        <v>956</v>
      </c>
      <c r="G93" s="6">
        <v>843</v>
      </c>
      <c r="H93" s="7" t="s">
        <v>51</v>
      </c>
      <c r="I93" s="8" t="s">
        <v>8</v>
      </c>
      <c r="J93" s="7" t="s">
        <v>308</v>
      </c>
      <c r="K93" s="286">
        <v>320</v>
      </c>
      <c r="L93" s="281"/>
      <c r="M93" s="32">
        <v>254.4</v>
      </c>
      <c r="N93" s="32">
        <f>'[2]без учета счетов бюджета'!$AO$57</f>
        <v>166.5</v>
      </c>
      <c r="O93" s="32">
        <f>'[2]без учета счетов бюджета'!$AP$57</f>
        <v>165.166</v>
      </c>
      <c r="P93" s="30">
        <f>'[2]без учета счетов бюджета'!$AQ$57</f>
        <v>110.69358</v>
      </c>
      <c r="Q93" s="56" t="e">
        <f>L93+M93+P93+#REF!+#REF!+#REF!+#REF!</f>
        <v>#REF!</v>
      </c>
      <c r="R93" s="30">
        <f t="shared" si="20"/>
        <v>66.482630630630624</v>
      </c>
      <c r="S93" s="30">
        <f t="shared" si="21"/>
        <v>67.019592410060184</v>
      </c>
    </row>
    <row r="94" spans="1:30" ht="51" customHeight="1">
      <c r="A94" s="398" t="s">
        <v>110</v>
      </c>
      <c r="B94" s="398" t="s">
        <v>8</v>
      </c>
      <c r="C94" s="398" t="s">
        <v>6</v>
      </c>
      <c r="D94" s="398" t="s">
        <v>8</v>
      </c>
      <c r="E94" s="44" t="s">
        <v>304</v>
      </c>
      <c r="F94" s="1" t="s">
        <v>956</v>
      </c>
      <c r="G94" s="6">
        <v>843</v>
      </c>
      <c r="H94" s="7" t="s">
        <v>51</v>
      </c>
      <c r="I94" s="8" t="s">
        <v>8</v>
      </c>
      <c r="J94" s="7" t="s">
        <v>309</v>
      </c>
      <c r="K94" s="286">
        <v>320</v>
      </c>
      <c r="L94" s="281"/>
      <c r="M94" s="32">
        <v>976.7</v>
      </c>
      <c r="N94" s="32">
        <f>'[2]без учета счетов бюджета'!$AO$58</f>
        <v>782</v>
      </c>
      <c r="O94" s="32">
        <f>'[2]без учета счетов бюджета'!$AP$58</f>
        <v>782</v>
      </c>
      <c r="P94" s="30">
        <f>'[2]без учета счетов бюджета'!$AQ$58</f>
        <v>576.81428000000005</v>
      </c>
      <c r="Q94" s="56" t="e">
        <f>L94+M94+P94+#REF!+#REF!+#REF!+#REF!</f>
        <v>#REF!</v>
      </c>
      <c r="R94" s="30">
        <f t="shared" si="20"/>
        <v>73.761416879795405</v>
      </c>
      <c r="S94" s="30">
        <f t="shared" si="21"/>
        <v>73.761416879795405</v>
      </c>
    </row>
    <row r="95" spans="1:30" ht="51" customHeight="1">
      <c r="A95" s="398" t="s">
        <v>110</v>
      </c>
      <c r="B95" s="398" t="s">
        <v>8</v>
      </c>
      <c r="C95" s="398" t="s">
        <v>6</v>
      </c>
      <c r="D95" s="398" t="s">
        <v>9</v>
      </c>
      <c r="E95" s="44" t="s">
        <v>305</v>
      </c>
      <c r="F95" s="1" t="s">
        <v>956</v>
      </c>
      <c r="G95" s="6">
        <v>843</v>
      </c>
      <c r="H95" s="7" t="s">
        <v>51</v>
      </c>
      <c r="I95" s="8" t="s">
        <v>8</v>
      </c>
      <c r="J95" s="7" t="s">
        <v>310</v>
      </c>
      <c r="K95" s="286">
        <v>320</v>
      </c>
      <c r="L95" s="281"/>
      <c r="M95" s="32">
        <v>3</v>
      </c>
      <c r="N95" s="32">
        <f>'[2]без учета счетов бюджета'!$AO$59</f>
        <v>2.5</v>
      </c>
      <c r="O95" s="32">
        <f>'[2]без учета счетов бюджета'!$AP$59</f>
        <v>1.5</v>
      </c>
      <c r="P95" s="30">
        <f>'[2]без учета счетов бюджета'!$AQ$59</f>
        <v>1.5</v>
      </c>
      <c r="Q95" s="56" t="e">
        <f>L95+M95+P95+#REF!+#REF!+#REF!+#REF!</f>
        <v>#REF!</v>
      </c>
      <c r="R95" s="30">
        <f t="shared" si="20"/>
        <v>60</v>
      </c>
      <c r="S95" s="30">
        <f t="shared" si="21"/>
        <v>100</v>
      </c>
    </row>
    <row r="96" spans="1:30" ht="38.25" customHeight="1">
      <c r="A96" s="398" t="s">
        <v>110</v>
      </c>
      <c r="B96" s="398" t="s">
        <v>8</v>
      </c>
      <c r="C96" s="398" t="s">
        <v>6</v>
      </c>
      <c r="D96" s="398" t="s">
        <v>10</v>
      </c>
      <c r="E96" s="44" t="s">
        <v>306</v>
      </c>
      <c r="F96" s="1" t="s">
        <v>956</v>
      </c>
      <c r="G96" s="6">
        <v>843</v>
      </c>
      <c r="H96" s="7" t="s">
        <v>51</v>
      </c>
      <c r="I96" s="8" t="s">
        <v>8</v>
      </c>
      <c r="J96" s="7" t="s">
        <v>311</v>
      </c>
      <c r="K96" s="286">
        <v>320</v>
      </c>
      <c r="L96" s="32"/>
      <c r="M96" s="31">
        <v>43.1</v>
      </c>
      <c r="N96" s="31">
        <f>'[2]без учета счетов бюджета'!$AO$60</f>
        <v>24</v>
      </c>
      <c r="O96" s="31">
        <f>'[2]без учета счетов бюджета'!$AP$60</f>
        <v>26.334</v>
      </c>
      <c r="P96" s="31">
        <f>'[2]без учета счетов бюджета'!$AQ$60</f>
        <v>26.334</v>
      </c>
      <c r="Q96" s="56" t="e">
        <f>L96+M96+P96+#REF!+#REF!+#REF!+#REF!</f>
        <v>#REF!</v>
      </c>
      <c r="R96" s="30">
        <f t="shared" si="20"/>
        <v>109.72500000000001</v>
      </c>
      <c r="S96" s="30">
        <f t="shared" si="21"/>
        <v>99.999999999999986</v>
      </c>
    </row>
    <row r="97" spans="1:20" ht="15" customHeight="1">
      <c r="A97" s="525">
        <v>30</v>
      </c>
      <c r="B97" s="525">
        <v>3</v>
      </c>
      <c r="C97" s="525"/>
      <c r="D97" s="525"/>
      <c r="E97" s="505" t="s">
        <v>61</v>
      </c>
      <c r="F97" s="1" t="s">
        <v>48</v>
      </c>
      <c r="G97" s="6"/>
      <c r="H97" s="6"/>
      <c r="I97" s="8"/>
      <c r="J97" s="8"/>
      <c r="K97" s="6"/>
      <c r="L97" s="30" t="e">
        <f>L98+#REF!+#REF!+#REF!+#REF!+#REF!</f>
        <v>#REF!</v>
      </c>
      <c r="M97" s="30" t="e">
        <f>M98+#REF!+#REF!+#REF!+#REF!+#REF!+#REF!</f>
        <v>#REF!</v>
      </c>
      <c r="N97" s="30">
        <f>N98</f>
        <v>1954035.5</v>
      </c>
      <c r="O97" s="30">
        <f t="shared" ref="O97:P97" si="23">O98</f>
        <v>2205170.65674</v>
      </c>
      <c r="P97" s="30">
        <f t="shared" si="23"/>
        <v>2144201.5846299999</v>
      </c>
      <c r="Q97" s="56" t="e">
        <f>L97+M97+P97+#REF!+#REF!+#REF!+#REF!</f>
        <v>#REF!</v>
      </c>
      <c r="R97" s="30">
        <f t="shared" si="20"/>
        <v>109.73196672373659</v>
      </c>
      <c r="S97" s="30">
        <f t="shared" si="21"/>
        <v>97.235176700558256</v>
      </c>
    </row>
    <row r="98" spans="1:20" ht="38.25">
      <c r="A98" s="526"/>
      <c r="B98" s="526"/>
      <c r="C98" s="526"/>
      <c r="D98" s="526"/>
      <c r="E98" s="515"/>
      <c r="F98" s="1" t="s">
        <v>956</v>
      </c>
      <c r="G98" s="6">
        <v>843</v>
      </c>
      <c r="H98" s="6"/>
      <c r="I98" s="8"/>
      <c r="J98" s="8"/>
      <c r="K98" s="6"/>
      <c r="L98" s="30" t="e">
        <f>L99+L101+L105+L107+L113+#REF!+#REF!+L117+L119+#REF!+L122+#REF!+#REF!+#REF!+#REF!+#REF!+#REF!+#REF!+#REF!+L103</f>
        <v>#REF!</v>
      </c>
      <c r="M98" s="30" t="e">
        <f>M99+M101+M105+M107+M113+#REF!+#REF!+M117+M119+#REF!+M122+#REF!+#REF!+#REF!+#REF!+#REF!+#REF!+#REF!+#REF!+M103+0.3</f>
        <v>#REF!</v>
      </c>
      <c r="N98" s="30">
        <f>N99+N101+N103+N105+N107+N113+N115+N117+N119+N122</f>
        <v>1954035.5</v>
      </c>
      <c r="O98" s="30">
        <f t="shared" ref="O98:P98" si="24">O99+O101+O103+O105+O107+O113+O115+O117+O119+O122</f>
        <v>2205170.65674</v>
      </c>
      <c r="P98" s="30">
        <f t="shared" si="24"/>
        <v>2144201.5846299999</v>
      </c>
      <c r="Q98" s="56" t="e">
        <f>L98+M98+P98+#REF!+#REF!+#REF!+#REF!</f>
        <v>#REF!</v>
      </c>
      <c r="R98" s="30">
        <f t="shared" si="20"/>
        <v>109.73196672373659</v>
      </c>
      <c r="S98" s="30">
        <f t="shared" si="21"/>
        <v>97.235176700558256</v>
      </c>
    </row>
    <row r="99" spans="1:20" ht="51">
      <c r="A99" s="404" t="s">
        <v>110</v>
      </c>
      <c r="B99" s="404" t="s">
        <v>504</v>
      </c>
      <c r="C99" s="404" t="s">
        <v>7</v>
      </c>
      <c r="D99" s="400"/>
      <c r="E99" s="3" t="s">
        <v>312</v>
      </c>
      <c r="F99" s="1" t="s">
        <v>956</v>
      </c>
      <c r="G99" s="6">
        <v>843</v>
      </c>
      <c r="H99" s="7" t="s">
        <v>51</v>
      </c>
      <c r="I99" s="8" t="s">
        <v>8</v>
      </c>
      <c r="J99" s="7" t="s">
        <v>314</v>
      </c>
      <c r="K99" s="286">
        <v>611</v>
      </c>
      <c r="L99" s="30">
        <f>L100</f>
        <v>0</v>
      </c>
      <c r="M99" s="30">
        <f>M100</f>
        <v>593771</v>
      </c>
      <c r="N99" s="30">
        <f>N100</f>
        <v>668153.59999999998</v>
      </c>
      <c r="O99" s="30">
        <f t="shared" ref="O99:P99" si="25">O100</f>
        <v>668153.59999999998</v>
      </c>
      <c r="P99" s="30">
        <f t="shared" si="25"/>
        <v>647601.6</v>
      </c>
      <c r="Q99" s="56" t="e">
        <f>L99+M99+P99+#REF!+#REF!+#REF!+#REF!</f>
        <v>#REF!</v>
      </c>
      <c r="R99" s="30">
        <f t="shared" si="20"/>
        <v>96.924060575292856</v>
      </c>
      <c r="S99" s="30">
        <f t="shared" si="21"/>
        <v>96.924060575292856</v>
      </c>
    </row>
    <row r="100" spans="1:20" ht="51">
      <c r="A100" s="404" t="s">
        <v>110</v>
      </c>
      <c r="B100" s="404" t="s">
        <v>9</v>
      </c>
      <c r="C100" s="404" t="s">
        <v>7</v>
      </c>
      <c r="D100" s="8" t="s">
        <v>7</v>
      </c>
      <c r="E100" s="3" t="s">
        <v>313</v>
      </c>
      <c r="F100" s="1" t="s">
        <v>956</v>
      </c>
      <c r="G100" s="6">
        <v>843</v>
      </c>
      <c r="H100" s="7" t="s">
        <v>51</v>
      </c>
      <c r="I100" s="8" t="s">
        <v>8</v>
      </c>
      <c r="J100" s="7" t="s">
        <v>315</v>
      </c>
      <c r="K100" s="286">
        <v>611</v>
      </c>
      <c r="L100" s="30">
        <v>0</v>
      </c>
      <c r="M100" s="30">
        <f>519111.4+3000+71659.6</f>
        <v>593771</v>
      </c>
      <c r="N100" s="30">
        <f>'[2]без учета счетов бюджета'!$AO$61</f>
        <v>668153.59999999998</v>
      </c>
      <c r="O100" s="30">
        <f>'[2]без учета счетов бюджета'!$AP$61</f>
        <v>668153.59999999998</v>
      </c>
      <c r="P100" s="30">
        <f>'[2]без учета счетов бюджета'!$AQ$61</f>
        <v>647601.6</v>
      </c>
      <c r="Q100" s="56" t="e">
        <f>L100+M100+P100+#REF!+#REF!+#REF!+#REF!</f>
        <v>#REF!</v>
      </c>
      <c r="R100" s="30">
        <f t="shared" si="20"/>
        <v>96.924060575292856</v>
      </c>
      <c r="S100" s="30">
        <f t="shared" si="21"/>
        <v>96.924060575292856</v>
      </c>
    </row>
    <row r="101" spans="1:20" ht="51">
      <c r="A101" s="404" t="s">
        <v>110</v>
      </c>
      <c r="B101" s="404" t="s">
        <v>504</v>
      </c>
      <c r="C101" s="404" t="s">
        <v>8</v>
      </c>
      <c r="D101" s="8"/>
      <c r="E101" s="3" t="s">
        <v>505</v>
      </c>
      <c r="F101" s="1" t="s">
        <v>956</v>
      </c>
      <c r="G101" s="6">
        <v>843</v>
      </c>
      <c r="H101" s="7" t="s">
        <v>51</v>
      </c>
      <c r="I101" s="8" t="s">
        <v>8</v>
      </c>
      <c r="J101" s="7" t="s">
        <v>317</v>
      </c>
      <c r="K101" s="286">
        <v>611</v>
      </c>
      <c r="L101" s="30">
        <f>L102</f>
        <v>0</v>
      </c>
      <c r="M101" s="30">
        <f>M102</f>
        <v>44711.1</v>
      </c>
      <c r="N101" s="30">
        <f>N102</f>
        <v>44989.4</v>
      </c>
      <c r="O101" s="30">
        <f t="shared" ref="O101:Q101" si="26">O102</f>
        <v>48189.4</v>
      </c>
      <c r="P101" s="30">
        <f t="shared" si="26"/>
        <v>46294.400000000001</v>
      </c>
      <c r="Q101" s="30" t="e">
        <f t="shared" si="26"/>
        <v>#REF!</v>
      </c>
      <c r="R101" s="30">
        <f t="shared" si="20"/>
        <v>102.90068327205964</v>
      </c>
      <c r="S101" s="30">
        <f t="shared" si="21"/>
        <v>96.06759992861501</v>
      </c>
    </row>
    <row r="102" spans="1:20" ht="51">
      <c r="A102" s="404" t="s">
        <v>110</v>
      </c>
      <c r="B102" s="404" t="s">
        <v>9</v>
      </c>
      <c r="C102" s="404" t="s">
        <v>8</v>
      </c>
      <c r="D102" s="8" t="s">
        <v>7</v>
      </c>
      <c r="E102" s="3" t="s">
        <v>313</v>
      </c>
      <c r="F102" s="1" t="s">
        <v>956</v>
      </c>
      <c r="G102" s="6">
        <v>843</v>
      </c>
      <c r="H102" s="7" t="s">
        <v>51</v>
      </c>
      <c r="I102" s="8" t="s">
        <v>8</v>
      </c>
      <c r="J102" s="7" t="s">
        <v>318</v>
      </c>
      <c r="K102" s="286">
        <v>611</v>
      </c>
      <c r="L102" s="30">
        <v>0</v>
      </c>
      <c r="M102" s="30">
        <f>42655.4+2055.7</f>
        <v>44711.1</v>
      </c>
      <c r="N102" s="30">
        <f>'[2]без учета счетов бюджета'!$AO$62</f>
        <v>44989.4</v>
      </c>
      <c r="O102" s="30">
        <f>'[2]без учета счетов бюджета'!$AP$62</f>
        <v>48189.4</v>
      </c>
      <c r="P102" s="30">
        <f>'[2]без учета счетов бюджета'!$AQ$62</f>
        <v>46294.400000000001</v>
      </c>
      <c r="Q102" s="56" t="e">
        <f>L102+M102+P102+#REF!+#REF!+#REF!+#REF!</f>
        <v>#REF!</v>
      </c>
      <c r="R102" s="30">
        <f t="shared" si="20"/>
        <v>102.90068327205964</v>
      </c>
      <c r="S102" s="30">
        <f t="shared" si="21"/>
        <v>96.06759992861501</v>
      </c>
    </row>
    <row r="103" spans="1:20" ht="76.5">
      <c r="A103" s="404" t="s">
        <v>110</v>
      </c>
      <c r="B103" s="404" t="s">
        <v>504</v>
      </c>
      <c r="C103" s="404" t="s">
        <v>9</v>
      </c>
      <c r="D103" s="8"/>
      <c r="E103" s="3" t="s">
        <v>319</v>
      </c>
      <c r="F103" s="1" t="s">
        <v>956</v>
      </c>
      <c r="G103" s="6">
        <v>843</v>
      </c>
      <c r="H103" s="7" t="s">
        <v>51</v>
      </c>
      <c r="I103" s="8" t="s">
        <v>8</v>
      </c>
      <c r="J103" s="7" t="s">
        <v>320</v>
      </c>
      <c r="K103" s="286" t="s">
        <v>478</v>
      </c>
      <c r="L103" s="30">
        <f>L104</f>
        <v>0</v>
      </c>
      <c r="M103" s="30">
        <v>957390.2</v>
      </c>
      <c r="N103" s="30">
        <f>N104</f>
        <v>1130362.6000000001</v>
      </c>
      <c r="O103" s="30">
        <f t="shared" ref="O103:P103" si="27">O104</f>
        <v>1209016.7</v>
      </c>
      <c r="P103" s="30">
        <f t="shared" si="27"/>
        <v>1177469.25223</v>
      </c>
      <c r="Q103" s="56" t="e">
        <f>L103+M103+P103+#REF!+#REF!+#REF!+#REF!</f>
        <v>#REF!</v>
      </c>
      <c r="R103" s="30">
        <f t="shared" si="20"/>
        <v>104.16739303211199</v>
      </c>
      <c r="S103" s="30">
        <f t="shared" si="21"/>
        <v>97.390652439292197</v>
      </c>
    </row>
    <row r="104" spans="1:20" ht="51">
      <c r="A104" s="404" t="s">
        <v>110</v>
      </c>
      <c r="B104" s="404" t="s">
        <v>9</v>
      </c>
      <c r="C104" s="404" t="s">
        <v>9</v>
      </c>
      <c r="D104" s="8" t="s">
        <v>7</v>
      </c>
      <c r="E104" s="3" t="s">
        <v>313</v>
      </c>
      <c r="F104" s="1" t="s">
        <v>956</v>
      </c>
      <c r="G104" s="6">
        <v>843</v>
      </c>
      <c r="H104" s="7" t="s">
        <v>51</v>
      </c>
      <c r="I104" s="8" t="s">
        <v>8</v>
      </c>
      <c r="J104" s="7" t="s">
        <v>321</v>
      </c>
      <c r="K104" s="286">
        <v>611</v>
      </c>
      <c r="L104" s="30">
        <v>0</v>
      </c>
      <c r="M104" s="30">
        <f>866319.9+2623.8+9686.4+5875.5+75736.9+4305.3</f>
        <v>964547.80000000016</v>
      </c>
      <c r="N104" s="30">
        <f>'[2]без учета счетов бюджета'!$AO$63</f>
        <v>1130362.6000000001</v>
      </c>
      <c r="O104" s="30">
        <f>'[2]без учета счетов бюджета'!$AP$63</f>
        <v>1209016.7</v>
      </c>
      <c r="P104" s="30">
        <f>'[2]без учета счетов бюджета'!$AQ$63</f>
        <v>1177469.25223</v>
      </c>
      <c r="Q104" s="56" t="e">
        <f>L104+M104+P104+#REF!+#REF!+#REF!+#REF!</f>
        <v>#REF!</v>
      </c>
      <c r="R104" s="30">
        <f t="shared" si="20"/>
        <v>104.16739303211199</v>
      </c>
      <c r="S104" s="30">
        <f t="shared" si="21"/>
        <v>97.390652439292197</v>
      </c>
    </row>
    <row r="105" spans="1:20" ht="38.25">
      <c r="A105" s="404" t="s">
        <v>110</v>
      </c>
      <c r="B105" s="404" t="s">
        <v>504</v>
      </c>
      <c r="C105" s="404" t="s">
        <v>33</v>
      </c>
      <c r="D105" s="8"/>
      <c r="E105" s="3" t="s">
        <v>323</v>
      </c>
      <c r="F105" s="1" t="s">
        <v>956</v>
      </c>
      <c r="G105" s="6">
        <v>843</v>
      </c>
      <c r="H105" s="7" t="s">
        <v>51</v>
      </c>
      <c r="I105" s="8" t="s">
        <v>8</v>
      </c>
      <c r="J105" s="7" t="s">
        <v>325</v>
      </c>
      <c r="K105" s="286">
        <v>320</v>
      </c>
      <c r="L105" s="30" t="e">
        <f>#REF!+L106</f>
        <v>#REF!</v>
      </c>
      <c r="M105" s="30">
        <v>3578.4</v>
      </c>
      <c r="N105" s="30">
        <f>N106</f>
        <v>4176.8999999999996</v>
      </c>
      <c r="O105" s="30">
        <f t="shared" ref="O105:P105" si="28">O106</f>
        <v>3676.9</v>
      </c>
      <c r="P105" s="30">
        <f t="shared" si="28"/>
        <v>3194.6709300000002</v>
      </c>
      <c r="Q105" s="56" t="e">
        <f>L105+M105+P105+#REF!+#REF!+#REF!+#REF!</f>
        <v>#REF!</v>
      </c>
      <c r="R105" s="30">
        <f t="shared" si="20"/>
        <v>76.484256984845231</v>
      </c>
      <c r="S105" s="30">
        <f t="shared" si="21"/>
        <v>86.884901139546912</v>
      </c>
    </row>
    <row r="106" spans="1:20" ht="76.5">
      <c r="A106" s="404" t="s">
        <v>110</v>
      </c>
      <c r="B106" s="404" t="s">
        <v>9</v>
      </c>
      <c r="C106" s="404" t="s">
        <v>33</v>
      </c>
      <c r="D106" s="8" t="s">
        <v>7</v>
      </c>
      <c r="E106" s="59" t="s">
        <v>79</v>
      </c>
      <c r="F106" s="1" t="s">
        <v>956</v>
      </c>
      <c r="G106" s="6">
        <v>843</v>
      </c>
      <c r="H106" s="7" t="s">
        <v>51</v>
      </c>
      <c r="I106" s="8" t="s">
        <v>8</v>
      </c>
      <c r="J106" s="7" t="s">
        <v>326</v>
      </c>
      <c r="K106" s="286">
        <v>320</v>
      </c>
      <c r="L106" s="30">
        <v>0</v>
      </c>
      <c r="M106" s="30">
        <v>4176.8999999999996</v>
      </c>
      <c r="N106" s="30">
        <f>'[2]без учета счетов бюджета'!$AO$64</f>
        <v>4176.8999999999996</v>
      </c>
      <c r="O106" s="30">
        <f>'[2]без учета счетов бюджета'!$AP$64</f>
        <v>3676.9</v>
      </c>
      <c r="P106" s="30">
        <f>'[2]без учета счетов бюджета'!$AQ$64</f>
        <v>3194.6709300000002</v>
      </c>
      <c r="Q106" s="56" t="e">
        <f>L106+M106+P106+#REF!+#REF!+#REF!+#REF!</f>
        <v>#REF!</v>
      </c>
      <c r="R106" s="30">
        <f t="shared" si="20"/>
        <v>76.484256984845231</v>
      </c>
      <c r="S106" s="30">
        <f t="shared" si="21"/>
        <v>86.884901139546912</v>
      </c>
    </row>
    <row r="107" spans="1:20" ht="38.25">
      <c r="A107" s="404" t="s">
        <v>110</v>
      </c>
      <c r="B107" s="404" t="s">
        <v>504</v>
      </c>
      <c r="C107" s="404" t="s">
        <v>25</v>
      </c>
      <c r="D107" s="8"/>
      <c r="E107" s="59" t="s">
        <v>327</v>
      </c>
      <c r="F107" s="1" t="s">
        <v>956</v>
      </c>
      <c r="G107" s="6">
        <v>843</v>
      </c>
      <c r="H107" s="7" t="s">
        <v>51</v>
      </c>
      <c r="I107" s="8" t="s">
        <v>8</v>
      </c>
      <c r="J107" s="7" t="s">
        <v>328</v>
      </c>
      <c r="K107" s="286" t="s">
        <v>511</v>
      </c>
      <c r="L107" s="30" t="e">
        <f>L108+L109+#REF!+#REF!+#REF!</f>
        <v>#REF!</v>
      </c>
      <c r="M107" s="30">
        <v>23306.2</v>
      </c>
      <c r="N107" s="30">
        <f>N108+N109+N110+N111+N112</f>
        <v>10393</v>
      </c>
      <c r="O107" s="30">
        <f t="shared" ref="O107:Q107" si="29">O108+O109+O110+O111+O112</f>
        <v>233140.05674</v>
      </c>
      <c r="P107" s="30">
        <f t="shared" si="29"/>
        <v>233037.47216999999</v>
      </c>
      <c r="Q107" s="30" t="e">
        <f t="shared" si="29"/>
        <v>#REF!</v>
      </c>
      <c r="R107" s="30">
        <f t="shared" si="20"/>
        <v>2242.2541342249588</v>
      </c>
      <c r="S107" s="30">
        <f t="shared" si="21"/>
        <v>99.955998736796047</v>
      </c>
    </row>
    <row r="108" spans="1:20" ht="38.25" customHeight="1">
      <c r="A108" s="404" t="s">
        <v>110</v>
      </c>
      <c r="B108" s="404" t="s">
        <v>9</v>
      </c>
      <c r="C108" s="404" t="s">
        <v>25</v>
      </c>
      <c r="D108" s="8" t="s">
        <v>7</v>
      </c>
      <c r="E108" s="59" t="s">
        <v>329</v>
      </c>
      <c r="F108" s="1" t="s">
        <v>956</v>
      </c>
      <c r="G108" s="6">
        <v>843</v>
      </c>
      <c r="H108" s="7" t="s">
        <v>51</v>
      </c>
      <c r="I108" s="8" t="s">
        <v>8</v>
      </c>
      <c r="J108" s="7" t="s">
        <v>331</v>
      </c>
      <c r="K108" s="286">
        <v>612</v>
      </c>
      <c r="L108" s="30">
        <v>0</v>
      </c>
      <c r="M108" s="30">
        <f>393+5000-98.2+7034.8</f>
        <v>12329.6</v>
      </c>
      <c r="N108" s="30">
        <f>'[2]без учета счетов бюджета'!$AO$65</f>
        <v>393</v>
      </c>
      <c r="O108" s="30">
        <f>'[2]без учета счетов бюджета'!$AP$65</f>
        <v>200</v>
      </c>
      <c r="P108" s="30">
        <f>'[2]без учета счетов бюджета'!$AQ$65</f>
        <v>200</v>
      </c>
      <c r="Q108" s="56" t="e">
        <f>L108+M108+P108+#REF!+#REF!+#REF!+#REF!</f>
        <v>#REF!</v>
      </c>
      <c r="R108" s="30">
        <f t="shared" si="20"/>
        <v>50.890585241730278</v>
      </c>
      <c r="S108" s="30">
        <f t="shared" si="21"/>
        <v>100</v>
      </c>
    </row>
    <row r="109" spans="1:20" ht="38.25" customHeight="1">
      <c r="A109" s="404" t="s">
        <v>110</v>
      </c>
      <c r="B109" s="404" t="s">
        <v>9</v>
      </c>
      <c r="C109" s="404" t="s">
        <v>25</v>
      </c>
      <c r="D109" s="8" t="s">
        <v>8</v>
      </c>
      <c r="E109" s="59" t="s">
        <v>330</v>
      </c>
      <c r="F109" s="1" t="s">
        <v>956</v>
      </c>
      <c r="G109" s="6">
        <v>843</v>
      </c>
      <c r="H109" s="7" t="s">
        <v>51</v>
      </c>
      <c r="I109" s="8" t="s">
        <v>25</v>
      </c>
      <c r="J109" s="7" t="s">
        <v>332</v>
      </c>
      <c r="K109" s="286" t="s">
        <v>392</v>
      </c>
      <c r="L109" s="30">
        <v>0</v>
      </c>
      <c r="M109" s="30">
        <v>10000</v>
      </c>
      <c r="N109" s="30">
        <f>'[2]без учета счетов бюджета'!$AO$66</f>
        <v>10000</v>
      </c>
      <c r="O109" s="30">
        <f>'[2]без учета счетов бюджета'!$AP$66</f>
        <v>10000</v>
      </c>
      <c r="P109" s="30">
        <f>'[2]без учета счетов бюджета'!$AQ$66</f>
        <v>9897.4154299999991</v>
      </c>
      <c r="Q109" s="56" t="e">
        <f>L109+M109+P109+#REF!+#REF!+#REF!+#REF!</f>
        <v>#REF!</v>
      </c>
      <c r="R109" s="30">
        <f t="shared" si="20"/>
        <v>98.974154299999995</v>
      </c>
      <c r="S109" s="30">
        <f t="shared" si="21"/>
        <v>98.974154299999995</v>
      </c>
    </row>
    <row r="110" spans="1:20" ht="38.25" customHeight="1">
      <c r="A110" s="404" t="s">
        <v>110</v>
      </c>
      <c r="B110" s="404" t="s">
        <v>9</v>
      </c>
      <c r="C110" s="404" t="s">
        <v>25</v>
      </c>
      <c r="D110" s="8" t="s">
        <v>9</v>
      </c>
      <c r="E110" s="420" t="s">
        <v>643</v>
      </c>
      <c r="F110" s="1" t="s">
        <v>956</v>
      </c>
      <c r="G110" s="6">
        <v>843</v>
      </c>
      <c r="H110" s="7" t="s">
        <v>51</v>
      </c>
      <c r="I110" s="8" t="s">
        <v>8</v>
      </c>
      <c r="J110" s="7" t="s">
        <v>640</v>
      </c>
      <c r="K110" s="286">
        <v>465</v>
      </c>
      <c r="L110" s="30"/>
      <c r="M110" s="30"/>
      <c r="N110" s="30">
        <f>'[2]без учета счетов бюджета'!$AO$68</f>
        <v>0</v>
      </c>
      <c r="O110" s="30">
        <f>'[2]без учета счетов бюджета'!$AP$68</f>
        <v>32214.81481</v>
      </c>
      <c r="P110" s="30">
        <f>'[2]без учета счетов бюджета'!$AQ$68</f>
        <v>32214.81481</v>
      </c>
      <c r="Q110" s="56" t="e">
        <f>L110+M110+P110+#REF!+#REF!+#REF!+#REF!</f>
        <v>#REF!</v>
      </c>
      <c r="R110" s="30">
        <v>0</v>
      </c>
      <c r="S110" s="30">
        <f t="shared" si="21"/>
        <v>100</v>
      </c>
      <c r="T110" s="36" t="s">
        <v>646</v>
      </c>
    </row>
    <row r="111" spans="1:20" ht="38.25" customHeight="1">
      <c r="A111" s="404" t="s">
        <v>110</v>
      </c>
      <c r="B111" s="404" t="s">
        <v>9</v>
      </c>
      <c r="C111" s="404" t="s">
        <v>25</v>
      </c>
      <c r="D111" s="8" t="s">
        <v>10</v>
      </c>
      <c r="E111" s="420" t="s">
        <v>644</v>
      </c>
      <c r="F111" s="1" t="s">
        <v>956</v>
      </c>
      <c r="G111" s="6">
        <v>843</v>
      </c>
      <c r="H111" s="7" t="s">
        <v>51</v>
      </c>
      <c r="I111" s="8" t="s">
        <v>8</v>
      </c>
      <c r="J111" s="7" t="s">
        <v>641</v>
      </c>
      <c r="K111" s="286">
        <v>465</v>
      </c>
      <c r="L111" s="30"/>
      <c r="M111" s="30"/>
      <c r="N111" s="30">
        <f>'[2]без учета счетов бюджета'!$AO$69</f>
        <v>0</v>
      </c>
      <c r="O111" s="30">
        <f>'[2]без учета счетов бюджета'!$AP$69</f>
        <v>185185.18518999999</v>
      </c>
      <c r="P111" s="30">
        <f>'[2]без учета счетов бюджета'!$AQ$69</f>
        <v>185185.18518999999</v>
      </c>
      <c r="Q111" s="56" t="e">
        <f>L111+M111+P111+#REF!+#REF!+#REF!+#REF!</f>
        <v>#REF!</v>
      </c>
      <c r="R111" s="30">
        <v>0</v>
      </c>
      <c r="S111" s="30">
        <f t="shared" si="21"/>
        <v>100</v>
      </c>
      <c r="T111" s="36" t="s">
        <v>646</v>
      </c>
    </row>
    <row r="112" spans="1:20" ht="38.25" customHeight="1">
      <c r="A112" s="404" t="s">
        <v>110</v>
      </c>
      <c r="B112" s="404" t="s">
        <v>9</v>
      </c>
      <c r="C112" s="404" t="s">
        <v>25</v>
      </c>
      <c r="D112" s="8" t="s">
        <v>33</v>
      </c>
      <c r="E112" s="420" t="s">
        <v>645</v>
      </c>
      <c r="F112" s="1" t="s">
        <v>956</v>
      </c>
      <c r="G112" s="6">
        <v>843</v>
      </c>
      <c r="H112" s="7" t="s">
        <v>51</v>
      </c>
      <c r="I112" s="8" t="s">
        <v>8</v>
      </c>
      <c r="J112" s="319" t="s">
        <v>642</v>
      </c>
      <c r="K112" s="286">
        <v>412</v>
      </c>
      <c r="L112" s="30"/>
      <c r="M112" s="30"/>
      <c r="N112" s="30">
        <f>'[2]без учета счетов бюджета'!$AO$67</f>
        <v>0</v>
      </c>
      <c r="O112" s="30">
        <f>'[2]без учета счетов бюджета'!$AP$67</f>
        <v>5540.05674</v>
      </c>
      <c r="P112" s="30">
        <f>'[2]без учета счетов бюджета'!$AQ$67</f>
        <v>5540.05674</v>
      </c>
      <c r="Q112" s="56" t="e">
        <f>L112+M112+P112+#REF!+#REF!+#REF!+#REF!</f>
        <v>#REF!</v>
      </c>
      <c r="R112" s="30">
        <v>0</v>
      </c>
      <c r="S112" s="30">
        <f t="shared" si="21"/>
        <v>100</v>
      </c>
      <c r="T112" s="36" t="s">
        <v>646</v>
      </c>
    </row>
    <row r="113" spans="1:19" ht="38.25">
      <c r="A113" s="404" t="s">
        <v>110</v>
      </c>
      <c r="B113" s="404" t="s">
        <v>504</v>
      </c>
      <c r="C113" s="404" t="s">
        <v>6</v>
      </c>
      <c r="D113" s="404"/>
      <c r="E113" s="59" t="s">
        <v>333</v>
      </c>
      <c r="F113" s="1" t="s">
        <v>956</v>
      </c>
      <c r="G113" s="6">
        <v>843</v>
      </c>
      <c r="H113" s="7" t="s">
        <v>51</v>
      </c>
      <c r="I113" s="8" t="s">
        <v>9</v>
      </c>
      <c r="J113" s="7" t="s">
        <v>336</v>
      </c>
      <c r="K113" s="286" t="s">
        <v>393</v>
      </c>
      <c r="L113" s="30" t="e">
        <f>L114+#REF!</f>
        <v>#REF!</v>
      </c>
      <c r="M113" s="30">
        <v>19490.599999999999</v>
      </c>
      <c r="N113" s="30">
        <f>N114</f>
        <v>18410.5</v>
      </c>
      <c r="O113" s="30">
        <f t="shared" ref="O113:P113" si="30">O114</f>
        <v>17057.900000000001</v>
      </c>
      <c r="P113" s="30">
        <f t="shared" si="30"/>
        <v>10774.311099999999</v>
      </c>
      <c r="Q113" s="56" t="e">
        <f>L113+M113+P113+#REF!+#REF!+#REF!+#REF!</f>
        <v>#REF!</v>
      </c>
      <c r="R113" s="30">
        <f t="shared" si="20"/>
        <v>58.522642513782891</v>
      </c>
      <c r="S113" s="30">
        <f t="shared" si="21"/>
        <v>63.163174247709264</v>
      </c>
    </row>
    <row r="114" spans="1:19" ht="38.25" customHeight="1">
      <c r="A114" s="404" t="s">
        <v>110</v>
      </c>
      <c r="B114" s="404" t="s">
        <v>9</v>
      </c>
      <c r="C114" s="404" t="s">
        <v>6</v>
      </c>
      <c r="D114" s="404" t="s">
        <v>7</v>
      </c>
      <c r="E114" s="59" t="s">
        <v>334</v>
      </c>
      <c r="F114" s="1" t="s">
        <v>956</v>
      </c>
      <c r="G114" s="6">
        <v>843</v>
      </c>
      <c r="H114" s="7" t="s">
        <v>51</v>
      </c>
      <c r="I114" s="8" t="s">
        <v>9</v>
      </c>
      <c r="J114" s="7" t="s">
        <v>337</v>
      </c>
      <c r="K114" s="286" t="s">
        <v>393</v>
      </c>
      <c r="L114" s="30"/>
      <c r="M114" s="30">
        <f>20214-1803.5</f>
        <v>18410.5</v>
      </c>
      <c r="N114" s="30">
        <f>'[2]без учета счетов бюджета'!$AO$70</f>
        <v>18410.5</v>
      </c>
      <c r="O114" s="30">
        <f>'[2]без учета счетов бюджета'!$AP$70</f>
        <v>17057.900000000001</v>
      </c>
      <c r="P114" s="30">
        <f>'[2]без учета счетов бюджета'!$AQ$70</f>
        <v>10774.311099999999</v>
      </c>
      <c r="Q114" s="56" t="e">
        <f>L114+M114+P114+#REF!+#REF!+#REF!+#REF!</f>
        <v>#REF!</v>
      </c>
      <c r="R114" s="30">
        <f t="shared" si="20"/>
        <v>58.522642513782891</v>
      </c>
      <c r="S114" s="30">
        <f t="shared" si="21"/>
        <v>63.163174247709264</v>
      </c>
    </row>
    <row r="115" spans="1:19" ht="38.25" customHeight="1">
      <c r="A115" s="404" t="s">
        <v>110</v>
      </c>
      <c r="B115" s="404" t="s">
        <v>504</v>
      </c>
      <c r="C115" s="404" t="s">
        <v>34</v>
      </c>
      <c r="D115" s="404"/>
      <c r="E115" s="59" t="s">
        <v>335</v>
      </c>
      <c r="F115" s="1" t="s">
        <v>956</v>
      </c>
      <c r="G115" s="6"/>
      <c r="H115" s="7"/>
      <c r="I115" s="8"/>
      <c r="J115" s="319">
        <v>3030800000</v>
      </c>
      <c r="K115" s="286"/>
      <c r="L115" s="30"/>
      <c r="M115" s="30"/>
      <c r="N115" s="30">
        <f>N116</f>
        <v>55079.5</v>
      </c>
      <c r="O115" s="30">
        <f t="shared" ref="O115:P115" si="31">O116</f>
        <v>0</v>
      </c>
      <c r="P115" s="30">
        <f t="shared" si="31"/>
        <v>0</v>
      </c>
      <c r="Q115" s="56"/>
      <c r="R115" s="30">
        <f t="shared" si="20"/>
        <v>0</v>
      </c>
      <c r="S115" s="30">
        <v>0</v>
      </c>
    </row>
    <row r="116" spans="1:19" ht="52.5" customHeight="1">
      <c r="A116" s="404" t="s">
        <v>110</v>
      </c>
      <c r="B116" s="404" t="s">
        <v>504</v>
      </c>
      <c r="C116" s="404" t="s">
        <v>34</v>
      </c>
      <c r="D116" s="404" t="s">
        <v>7</v>
      </c>
      <c r="E116" s="59" t="s">
        <v>647</v>
      </c>
      <c r="F116" s="1" t="s">
        <v>956</v>
      </c>
      <c r="G116" s="6">
        <v>843</v>
      </c>
      <c r="H116" s="7" t="s">
        <v>51</v>
      </c>
      <c r="I116" s="8" t="s">
        <v>9</v>
      </c>
      <c r="J116" s="319">
        <v>3030805170</v>
      </c>
      <c r="K116" s="286">
        <v>240</v>
      </c>
      <c r="L116" s="30"/>
      <c r="M116" s="30"/>
      <c r="N116" s="30">
        <f>'[2]без учета счетов бюджета'!$AO$71</f>
        <v>55079.5</v>
      </c>
      <c r="O116" s="30"/>
      <c r="P116" s="30"/>
      <c r="Q116" s="56"/>
      <c r="R116" s="30">
        <f t="shared" si="20"/>
        <v>0</v>
      </c>
      <c r="S116" s="30">
        <v>0</v>
      </c>
    </row>
    <row r="117" spans="1:19" ht="51">
      <c r="A117" s="404" t="s">
        <v>110</v>
      </c>
      <c r="B117" s="404" t="s">
        <v>504</v>
      </c>
      <c r="C117" s="404" t="s">
        <v>35</v>
      </c>
      <c r="D117" s="404"/>
      <c r="E117" s="59" t="s">
        <v>339</v>
      </c>
      <c r="F117" s="1" t="s">
        <v>956</v>
      </c>
      <c r="G117" s="6">
        <v>843</v>
      </c>
      <c r="H117" s="7" t="s">
        <v>51</v>
      </c>
      <c r="I117" s="8" t="s">
        <v>25</v>
      </c>
      <c r="J117" s="7" t="s">
        <v>345</v>
      </c>
      <c r="K117" s="286">
        <v>612</v>
      </c>
      <c r="L117" s="30" t="e">
        <f>L118+#REF!</f>
        <v>#REF!</v>
      </c>
      <c r="M117" s="30">
        <v>12348.3</v>
      </c>
      <c r="N117" s="30">
        <f>N118</f>
        <v>17075.099999999999</v>
      </c>
      <c r="O117" s="30">
        <f t="shared" ref="O117:Q117" si="32">O118</f>
        <v>17075.099999999999</v>
      </c>
      <c r="P117" s="30">
        <f t="shared" si="32"/>
        <v>16968.897659999999</v>
      </c>
      <c r="Q117" s="30" t="e">
        <f t="shared" si="32"/>
        <v>#REF!</v>
      </c>
      <c r="R117" s="30">
        <f t="shared" si="20"/>
        <v>99.378028005692499</v>
      </c>
      <c r="S117" s="30">
        <f t="shared" si="21"/>
        <v>99.378028005692499</v>
      </c>
    </row>
    <row r="118" spans="1:19" ht="51" customHeight="1">
      <c r="A118" s="404" t="s">
        <v>110</v>
      </c>
      <c r="B118" s="404" t="s">
        <v>9</v>
      </c>
      <c r="C118" s="404" t="s">
        <v>35</v>
      </c>
      <c r="D118" s="404" t="s">
        <v>7</v>
      </c>
      <c r="E118" s="59" t="s">
        <v>340</v>
      </c>
      <c r="F118" s="1" t="s">
        <v>956</v>
      </c>
      <c r="G118" s="6">
        <v>843</v>
      </c>
      <c r="H118" s="7" t="s">
        <v>51</v>
      </c>
      <c r="I118" s="8" t="s">
        <v>25</v>
      </c>
      <c r="J118" s="7" t="s">
        <v>346</v>
      </c>
      <c r="K118" s="286">
        <v>612</v>
      </c>
      <c r="L118" s="30">
        <v>0</v>
      </c>
      <c r="M118" s="30">
        <f>17075.1-4268.8</f>
        <v>12806.3</v>
      </c>
      <c r="N118" s="30">
        <f>'[2]без учета счетов бюджета'!$AO$72</f>
        <v>17075.099999999999</v>
      </c>
      <c r="O118" s="30">
        <f>'[2]без учета счетов бюджета'!$AP$72</f>
        <v>17075.099999999999</v>
      </c>
      <c r="P118" s="54">
        <f>'[2]без учета счетов бюджета'!$AQ$72</f>
        <v>16968.897659999999</v>
      </c>
      <c r="Q118" s="56" t="e">
        <f>L118+M118+P118+#REF!+#REF!+#REF!+#REF!</f>
        <v>#REF!</v>
      </c>
      <c r="R118" s="30">
        <f t="shared" si="20"/>
        <v>99.378028005692499</v>
      </c>
      <c r="S118" s="30">
        <f t="shared" si="21"/>
        <v>99.378028005692499</v>
      </c>
    </row>
    <row r="119" spans="1:19" ht="38.25" customHeight="1">
      <c r="A119" s="401" t="s">
        <v>110</v>
      </c>
      <c r="B119" s="393" t="s">
        <v>504</v>
      </c>
      <c r="C119" s="393" t="s">
        <v>51</v>
      </c>
      <c r="D119" s="393"/>
      <c r="E119" s="402" t="s">
        <v>341</v>
      </c>
      <c r="F119" s="1" t="s">
        <v>956</v>
      </c>
      <c r="G119" s="6">
        <v>843</v>
      </c>
      <c r="H119" s="7" t="s">
        <v>51</v>
      </c>
      <c r="I119" s="8" t="s">
        <v>25</v>
      </c>
      <c r="J119" s="7" t="s">
        <v>639</v>
      </c>
      <c r="K119" s="286">
        <v>612</v>
      </c>
      <c r="L119" s="30" t="e">
        <f>L120+#REF!+#REF!+3450.5</f>
        <v>#REF!</v>
      </c>
      <c r="M119" s="30">
        <v>31150.3</v>
      </c>
      <c r="N119" s="30">
        <f>N120+N121</f>
        <v>5194.8999999999996</v>
      </c>
      <c r="O119" s="30">
        <f t="shared" ref="O119:P119" si="33">O120+O121</f>
        <v>8491.5999999999985</v>
      </c>
      <c r="P119" s="30">
        <f t="shared" si="33"/>
        <v>8491.5999999999985</v>
      </c>
      <c r="Q119" s="56" t="e">
        <f>L119+M119+P119+#REF!+#REF!+#REF!+#REF!</f>
        <v>#REF!</v>
      </c>
      <c r="R119" s="30">
        <f t="shared" si="20"/>
        <v>163.46031684921749</v>
      </c>
      <c r="S119" s="30">
        <f t="shared" si="21"/>
        <v>100</v>
      </c>
    </row>
    <row r="120" spans="1:19" ht="89.25" customHeight="1">
      <c r="A120" s="404" t="s">
        <v>110</v>
      </c>
      <c r="B120" s="404" t="s">
        <v>9</v>
      </c>
      <c r="C120" s="404" t="s">
        <v>51</v>
      </c>
      <c r="D120" s="404" t="s">
        <v>7</v>
      </c>
      <c r="E120" s="59" t="s">
        <v>342</v>
      </c>
      <c r="F120" s="1" t="s">
        <v>956</v>
      </c>
      <c r="G120" s="6">
        <v>843</v>
      </c>
      <c r="H120" s="7" t="s">
        <v>51</v>
      </c>
      <c r="I120" s="8" t="s">
        <v>25</v>
      </c>
      <c r="J120" s="7" t="s">
        <v>648</v>
      </c>
      <c r="K120" s="286">
        <v>612</v>
      </c>
      <c r="L120" s="30">
        <v>0</v>
      </c>
      <c r="M120" s="30">
        <f>5194.9+11797</f>
        <v>16991.900000000001</v>
      </c>
      <c r="N120" s="30">
        <f>'[2]без учета счетов бюджета'!$AO$73</f>
        <v>5194.8999999999996</v>
      </c>
      <c r="O120" s="30">
        <f>'[2]без учета счетов бюджета'!$AP$73</f>
        <v>5194.8999999999996</v>
      </c>
      <c r="P120" s="30">
        <f>'[2]без учета счетов бюджета'!$AQ$73</f>
        <v>5194.8999999999996</v>
      </c>
      <c r="Q120" s="56" t="e">
        <f>L120+M120+P120+#REF!+#REF!+#REF!+#REF!</f>
        <v>#REF!</v>
      </c>
      <c r="R120" s="30">
        <f t="shared" si="20"/>
        <v>100</v>
      </c>
      <c r="S120" s="30">
        <f t="shared" si="21"/>
        <v>100</v>
      </c>
    </row>
    <row r="121" spans="1:19" ht="97.5" customHeight="1">
      <c r="A121" s="404" t="s">
        <v>110</v>
      </c>
      <c r="B121" s="404" t="s">
        <v>9</v>
      </c>
      <c r="C121" s="404" t="s">
        <v>51</v>
      </c>
      <c r="D121" s="404" t="s">
        <v>8</v>
      </c>
      <c r="E121" s="421" t="s">
        <v>649</v>
      </c>
      <c r="F121" s="1" t="s">
        <v>956</v>
      </c>
      <c r="G121" s="6">
        <v>843</v>
      </c>
      <c r="H121" s="7" t="s">
        <v>51</v>
      </c>
      <c r="I121" s="8" t="s">
        <v>25</v>
      </c>
      <c r="J121" s="7" t="s">
        <v>650</v>
      </c>
      <c r="K121" s="286" t="s">
        <v>676</v>
      </c>
      <c r="L121" s="30"/>
      <c r="M121" s="30"/>
      <c r="N121" s="30">
        <f>'[2]без учета счетов бюджета'!$AO$74</f>
        <v>0</v>
      </c>
      <c r="O121" s="30">
        <f>'[2]без учета счетов бюджета'!$AP$74</f>
        <v>3296.7</v>
      </c>
      <c r="P121" s="30">
        <f>'[2]без учета счетов бюджета'!$AQ$74</f>
        <v>3296.7</v>
      </c>
      <c r="Q121" s="56"/>
      <c r="R121" s="30">
        <v>0</v>
      </c>
      <c r="S121" s="30">
        <f t="shared" si="21"/>
        <v>100</v>
      </c>
    </row>
    <row r="122" spans="1:19" ht="38.25">
      <c r="A122" s="404" t="s">
        <v>110</v>
      </c>
      <c r="B122" s="404" t="s">
        <v>504</v>
      </c>
      <c r="C122" s="404" t="s">
        <v>68</v>
      </c>
      <c r="D122" s="8"/>
      <c r="E122" s="59" t="s">
        <v>343</v>
      </c>
      <c r="F122" s="1" t="s">
        <v>956</v>
      </c>
      <c r="G122" s="6">
        <v>843</v>
      </c>
      <c r="H122" s="7" t="s">
        <v>51</v>
      </c>
      <c r="I122" s="8" t="s">
        <v>8</v>
      </c>
      <c r="J122" s="7" t="s">
        <v>347</v>
      </c>
      <c r="K122" s="286">
        <v>630</v>
      </c>
      <c r="L122" s="30">
        <f>L123</f>
        <v>0</v>
      </c>
      <c r="M122" s="30">
        <f>M123</f>
        <v>62.3</v>
      </c>
      <c r="N122" s="30">
        <f>N123</f>
        <v>200</v>
      </c>
      <c r="O122" s="30">
        <f t="shared" ref="O122:P122" si="34">O123</f>
        <v>369.4</v>
      </c>
      <c r="P122" s="30">
        <f t="shared" si="34"/>
        <v>369.38054</v>
      </c>
      <c r="Q122" s="56" t="e">
        <f>L122+M122+P122+#REF!+#REF!+#REF!+#REF!</f>
        <v>#REF!</v>
      </c>
      <c r="R122" s="30">
        <f t="shared" si="20"/>
        <v>184.69027</v>
      </c>
      <c r="S122" s="30">
        <f t="shared" si="21"/>
        <v>99.994731997834322</v>
      </c>
    </row>
    <row r="123" spans="1:19" ht="38.25" customHeight="1">
      <c r="A123" s="404" t="s">
        <v>110</v>
      </c>
      <c r="B123" s="404" t="s">
        <v>9</v>
      </c>
      <c r="C123" s="404" t="s">
        <v>68</v>
      </c>
      <c r="D123" s="8" t="s">
        <v>7</v>
      </c>
      <c r="E123" s="59" t="s">
        <v>344</v>
      </c>
      <c r="F123" s="1" t="s">
        <v>956</v>
      </c>
      <c r="G123" s="6">
        <v>843</v>
      </c>
      <c r="H123" s="7" t="s">
        <v>51</v>
      </c>
      <c r="I123" s="8" t="s">
        <v>8</v>
      </c>
      <c r="J123" s="7" t="s">
        <v>348</v>
      </c>
      <c r="K123" s="286">
        <v>630</v>
      </c>
      <c r="L123" s="30">
        <v>0</v>
      </c>
      <c r="M123" s="30">
        <f>100-25-12.7</f>
        <v>62.3</v>
      </c>
      <c r="N123" s="30">
        <f>'[2]без учета счетов бюджета'!$AO$75</f>
        <v>200</v>
      </c>
      <c r="O123" s="30">
        <f>'[2]без учета счетов бюджета'!$AP$75</f>
        <v>369.4</v>
      </c>
      <c r="P123" s="30">
        <f>'[2]без учета счетов бюджета'!$AQ$75</f>
        <v>369.38054</v>
      </c>
      <c r="Q123" s="56" t="e">
        <f>L123+M123+P123+#REF!+#REF!+#REF!+#REF!</f>
        <v>#REF!</v>
      </c>
      <c r="R123" s="30">
        <f t="shared" si="20"/>
        <v>184.69027</v>
      </c>
      <c r="S123" s="30">
        <f t="shared" si="21"/>
        <v>99.994731997834322</v>
      </c>
    </row>
    <row r="124" spans="1:19" ht="15" customHeight="1">
      <c r="A124" s="501" t="s">
        <v>110</v>
      </c>
      <c r="B124" s="523" t="s">
        <v>508</v>
      </c>
      <c r="C124" s="501"/>
      <c r="D124" s="511"/>
      <c r="E124" s="505" t="s">
        <v>63</v>
      </c>
      <c r="F124" s="1" t="s">
        <v>48</v>
      </c>
      <c r="G124" s="6"/>
      <c r="H124" s="6"/>
      <c r="I124" s="8"/>
      <c r="J124" s="8"/>
      <c r="K124" s="6"/>
      <c r="L124" s="30" t="e">
        <f t="shared" ref="L124:M124" si="35">L125</f>
        <v>#REF!</v>
      </c>
      <c r="M124" s="30">
        <f t="shared" si="35"/>
        <v>367467.80000000005</v>
      </c>
      <c r="N124" s="30">
        <f>N125</f>
        <v>331026.7</v>
      </c>
      <c r="O124" s="30">
        <f t="shared" ref="O124:P124" si="36">O125</f>
        <v>334610.05000000005</v>
      </c>
      <c r="P124" s="30">
        <f t="shared" si="36"/>
        <v>329883.45429000002</v>
      </c>
      <c r="Q124" s="56" t="e">
        <f>L124+M124+P124+#REF!+#REF!+#REF!+#REF!</f>
        <v>#REF!</v>
      </c>
      <c r="R124" s="30">
        <f t="shared" si="20"/>
        <v>99.654636405462156</v>
      </c>
      <c r="S124" s="30">
        <f t="shared" si="21"/>
        <v>98.587431635720435</v>
      </c>
    </row>
    <row r="125" spans="1:19" ht="38.25">
      <c r="A125" s="502"/>
      <c r="B125" s="523"/>
      <c r="C125" s="502"/>
      <c r="D125" s="524"/>
      <c r="E125" s="506"/>
      <c r="F125" s="1" t="s">
        <v>956</v>
      </c>
      <c r="G125" s="6">
        <v>843</v>
      </c>
      <c r="H125" s="6"/>
      <c r="I125" s="8"/>
      <c r="J125" s="8"/>
      <c r="K125" s="6"/>
      <c r="L125" s="30" t="e">
        <f t="shared" ref="L125:M125" si="37">L126+L128+L130+L132+L135</f>
        <v>#REF!</v>
      </c>
      <c r="M125" s="30">
        <f t="shared" si="37"/>
        <v>367467.80000000005</v>
      </c>
      <c r="N125" s="30">
        <f>N126+N128+N130+N132+N135</f>
        <v>331026.7</v>
      </c>
      <c r="O125" s="30">
        <f t="shared" ref="O125:Q125" si="38">O126+O128+O130+O132+O135</f>
        <v>334610.05000000005</v>
      </c>
      <c r="P125" s="30">
        <f t="shared" si="38"/>
        <v>329883.45429000002</v>
      </c>
      <c r="Q125" s="30" t="e">
        <f t="shared" si="38"/>
        <v>#REF!</v>
      </c>
      <c r="R125" s="30">
        <f t="shared" si="20"/>
        <v>99.654636405462156</v>
      </c>
      <c r="S125" s="30">
        <f t="shared" si="21"/>
        <v>98.587431635720435</v>
      </c>
    </row>
    <row r="126" spans="1:19" ht="38.25">
      <c r="A126" s="394" t="s">
        <v>110</v>
      </c>
      <c r="B126" s="404" t="s">
        <v>508</v>
      </c>
      <c r="C126" s="394" t="s">
        <v>7</v>
      </c>
      <c r="D126" s="403"/>
      <c r="E126" s="1" t="s">
        <v>349</v>
      </c>
      <c r="F126" s="1" t="s">
        <v>956</v>
      </c>
      <c r="G126" s="6">
        <v>843</v>
      </c>
      <c r="H126" s="6">
        <v>10</v>
      </c>
      <c r="I126" s="8" t="s">
        <v>9</v>
      </c>
      <c r="J126" s="8" t="s">
        <v>350</v>
      </c>
      <c r="K126" s="286" t="s">
        <v>569</v>
      </c>
      <c r="L126" s="30" t="e">
        <f>L127+#REF!</f>
        <v>#REF!</v>
      </c>
      <c r="M126" s="30">
        <v>15883.4</v>
      </c>
      <c r="N126" s="30">
        <f>N127</f>
        <v>13423.7</v>
      </c>
      <c r="O126" s="30">
        <f t="shared" ref="O126:Q126" si="39">O127</f>
        <v>9854.7999999999993</v>
      </c>
      <c r="P126" s="30">
        <f t="shared" si="39"/>
        <v>9467.5292699999991</v>
      </c>
      <c r="Q126" s="30" t="e">
        <f t="shared" si="39"/>
        <v>#REF!</v>
      </c>
      <c r="R126" s="30">
        <f t="shared" si="20"/>
        <v>70.528462867912722</v>
      </c>
      <c r="S126" s="30">
        <f t="shared" si="21"/>
        <v>96.070232475544913</v>
      </c>
    </row>
    <row r="127" spans="1:19" ht="38.25" customHeight="1">
      <c r="A127" s="394" t="s">
        <v>110</v>
      </c>
      <c r="B127" s="404" t="s">
        <v>10</v>
      </c>
      <c r="C127" s="394" t="s">
        <v>7</v>
      </c>
      <c r="D127" s="8" t="s">
        <v>7</v>
      </c>
      <c r="E127" s="405" t="s">
        <v>349</v>
      </c>
      <c r="F127" s="1" t="s">
        <v>956</v>
      </c>
      <c r="G127" s="6">
        <v>843</v>
      </c>
      <c r="H127" s="6">
        <v>10</v>
      </c>
      <c r="I127" s="8" t="s">
        <v>9</v>
      </c>
      <c r="J127" s="8" t="s">
        <v>351</v>
      </c>
      <c r="K127" s="6">
        <v>880</v>
      </c>
      <c r="L127" s="30"/>
      <c r="M127" s="30">
        <f>13423.7+2753.1</f>
        <v>16176.800000000001</v>
      </c>
      <c r="N127" s="30">
        <f>'[1]без учета счетов бюджета'!$AN$76</f>
        <v>13423.7</v>
      </c>
      <c r="O127" s="30">
        <f>'[1]без учета счетов бюджета'!$AO$76</f>
        <v>9854.7999999999993</v>
      </c>
      <c r="P127" s="30">
        <f>'[1]без учета счетов бюджета'!$AP$76</f>
        <v>9467.5292699999991</v>
      </c>
      <c r="Q127" s="56" t="e">
        <f>L127+M127+P127+#REF!+#REF!+#REF!+#REF!</f>
        <v>#REF!</v>
      </c>
      <c r="R127" s="30">
        <f t="shared" si="20"/>
        <v>70.528462867912722</v>
      </c>
      <c r="S127" s="30">
        <f t="shared" si="21"/>
        <v>96.070232475544913</v>
      </c>
    </row>
    <row r="128" spans="1:19" ht="38.25">
      <c r="A128" s="394" t="s">
        <v>110</v>
      </c>
      <c r="B128" s="404" t="s">
        <v>508</v>
      </c>
      <c r="C128" s="394" t="s">
        <v>8</v>
      </c>
      <c r="D128" s="8"/>
      <c r="E128" s="405" t="s">
        <v>352</v>
      </c>
      <c r="F128" s="1" t="s">
        <v>956</v>
      </c>
      <c r="G128" s="6">
        <v>843</v>
      </c>
      <c r="H128" s="6">
        <v>10</v>
      </c>
      <c r="I128" s="8" t="s">
        <v>25</v>
      </c>
      <c r="J128" s="8" t="s">
        <v>356</v>
      </c>
      <c r="K128" s="286" t="s">
        <v>482</v>
      </c>
      <c r="L128" s="30" t="e">
        <f>L129+#REF!</f>
        <v>#REF!</v>
      </c>
      <c r="M128" s="30">
        <v>67331.199999999997</v>
      </c>
      <c r="N128" s="30">
        <f>N129</f>
        <v>67165.600000000006</v>
      </c>
      <c r="O128" s="30">
        <f t="shared" ref="O128:P128" si="40">O129</f>
        <v>67181.850000000006</v>
      </c>
      <c r="P128" s="30">
        <f t="shared" si="40"/>
        <v>66679.443799999994</v>
      </c>
      <c r="Q128" s="56" t="e">
        <f>L128+M128+P128+#REF!+#REF!+#REF!+#REF!</f>
        <v>#REF!</v>
      </c>
      <c r="R128" s="30">
        <f t="shared" si="20"/>
        <v>99.276182748311612</v>
      </c>
      <c r="S128" s="30">
        <f t="shared" si="21"/>
        <v>99.252169745251109</v>
      </c>
    </row>
    <row r="129" spans="1:19" ht="38.25" customHeight="1">
      <c r="A129" s="394" t="s">
        <v>110</v>
      </c>
      <c r="B129" s="404" t="s">
        <v>10</v>
      </c>
      <c r="C129" s="394" t="s">
        <v>8</v>
      </c>
      <c r="D129" s="8" t="s">
        <v>7</v>
      </c>
      <c r="E129" s="405" t="s">
        <v>353</v>
      </c>
      <c r="F129" s="1" t="s">
        <v>956</v>
      </c>
      <c r="G129" s="6">
        <v>843</v>
      </c>
      <c r="H129" s="6">
        <v>10</v>
      </c>
      <c r="I129" s="8" t="s">
        <v>25</v>
      </c>
      <c r="J129" s="8" t="s">
        <v>357</v>
      </c>
      <c r="K129" s="286" t="s">
        <v>395</v>
      </c>
      <c r="L129" s="30"/>
      <c r="M129" s="30">
        <f>60374+7023.7</f>
        <v>67397.7</v>
      </c>
      <c r="N129" s="30">
        <f>'[1]без учета счетов бюджета'!$AN$77</f>
        <v>67165.600000000006</v>
      </c>
      <c r="O129" s="30">
        <f>'[1]без учета счетов бюджета'!$AO$77</f>
        <v>67181.850000000006</v>
      </c>
      <c r="P129" s="30">
        <f>'[1]без учета счетов бюджета'!$AP$77</f>
        <v>66679.443799999994</v>
      </c>
      <c r="Q129" s="56" t="e">
        <f>L129+M129+P129+#REF!+#REF!+#REF!+#REF!</f>
        <v>#REF!</v>
      </c>
      <c r="R129" s="30">
        <f t="shared" si="20"/>
        <v>99.276182748311612</v>
      </c>
      <c r="S129" s="30">
        <f t="shared" si="21"/>
        <v>99.252169745251109</v>
      </c>
    </row>
    <row r="130" spans="1:19" ht="38.25">
      <c r="A130" s="394" t="s">
        <v>110</v>
      </c>
      <c r="B130" s="404" t="s">
        <v>508</v>
      </c>
      <c r="C130" s="394" t="s">
        <v>9</v>
      </c>
      <c r="D130" s="403"/>
      <c r="E130" s="405" t="s">
        <v>354</v>
      </c>
      <c r="F130" s="1" t="s">
        <v>956</v>
      </c>
      <c r="G130" s="6">
        <v>843</v>
      </c>
      <c r="H130" s="6">
        <v>10</v>
      </c>
      <c r="I130" s="8" t="s">
        <v>25</v>
      </c>
      <c r="J130" s="8" t="s">
        <v>358</v>
      </c>
      <c r="K130" s="286" t="s">
        <v>482</v>
      </c>
      <c r="L130" s="30" t="e">
        <f>L131+#REF!</f>
        <v>#REF!</v>
      </c>
      <c r="M130" s="30">
        <v>229175.6</v>
      </c>
      <c r="N130" s="30">
        <f>N131</f>
        <v>226668.1</v>
      </c>
      <c r="O130" s="30">
        <f t="shared" ref="O130:P130" si="41">O131</f>
        <v>224974.8</v>
      </c>
      <c r="P130" s="30">
        <f t="shared" si="41"/>
        <v>223229.86496000001</v>
      </c>
      <c r="Q130" s="56" t="e">
        <f>L130+M130+P130+#REF!+#REF!+#REF!+#REF!</f>
        <v>#REF!</v>
      </c>
      <c r="R130" s="30">
        <f t="shared" si="20"/>
        <v>98.483141191901282</v>
      </c>
      <c r="S130" s="30">
        <f t="shared" si="21"/>
        <v>99.224386446837599</v>
      </c>
    </row>
    <row r="131" spans="1:19" ht="38.25" customHeight="1">
      <c r="A131" s="394" t="s">
        <v>110</v>
      </c>
      <c r="B131" s="404" t="s">
        <v>10</v>
      </c>
      <c r="C131" s="394" t="s">
        <v>9</v>
      </c>
      <c r="D131" s="8" t="s">
        <v>7</v>
      </c>
      <c r="E131" s="405" t="s">
        <v>355</v>
      </c>
      <c r="F131" s="1" t="s">
        <v>956</v>
      </c>
      <c r="G131" s="6">
        <v>843</v>
      </c>
      <c r="H131" s="6">
        <v>10</v>
      </c>
      <c r="I131" s="8" t="s">
        <v>25</v>
      </c>
      <c r="J131" s="8" t="s">
        <v>359</v>
      </c>
      <c r="K131" s="286" t="s">
        <v>395</v>
      </c>
      <c r="L131" s="30"/>
      <c r="M131" s="30">
        <f>205254.3+24984.2</f>
        <v>230238.5</v>
      </c>
      <c r="N131" s="30">
        <f>'[1]без учета счетов бюджета'!$AN$78</f>
        <v>226668.1</v>
      </c>
      <c r="O131" s="30">
        <f>'[1]без учета счетов бюджета'!$AO$78</f>
        <v>224974.8</v>
      </c>
      <c r="P131" s="30">
        <f>'[1]без учета счетов бюджета'!$AP$78</f>
        <v>223229.86496000001</v>
      </c>
      <c r="Q131" s="56" t="e">
        <f>L131+M131+P131+#REF!+#REF!+#REF!+#REF!</f>
        <v>#REF!</v>
      </c>
      <c r="R131" s="30">
        <f t="shared" si="20"/>
        <v>98.483141191901282</v>
      </c>
      <c r="S131" s="30">
        <f t="shared" si="21"/>
        <v>99.224386446837599</v>
      </c>
    </row>
    <row r="132" spans="1:19" ht="38.25">
      <c r="A132" s="394" t="s">
        <v>110</v>
      </c>
      <c r="B132" s="404" t="s">
        <v>508</v>
      </c>
      <c r="C132" s="394" t="s">
        <v>10</v>
      </c>
      <c r="D132" s="8"/>
      <c r="E132" s="405" t="s">
        <v>65</v>
      </c>
      <c r="F132" s="1" t="s">
        <v>956</v>
      </c>
      <c r="G132" s="6">
        <v>843</v>
      </c>
      <c r="H132" s="6">
        <v>10</v>
      </c>
      <c r="I132" s="8" t="s">
        <v>25</v>
      </c>
      <c r="J132" s="8" t="s">
        <v>360</v>
      </c>
      <c r="K132" s="286" t="s">
        <v>483</v>
      </c>
      <c r="L132" s="30" t="e">
        <f>L133+L134+#REF!+#REF!+#REF!</f>
        <v>#REF!</v>
      </c>
      <c r="M132" s="30">
        <v>42791.199999999997</v>
      </c>
      <c r="N132" s="30">
        <f>N133+N134</f>
        <v>10567.1</v>
      </c>
      <c r="O132" s="30">
        <f t="shared" ref="O132:P132" si="42">O133+O134</f>
        <v>19396.400000000001</v>
      </c>
      <c r="P132" s="30">
        <f t="shared" si="42"/>
        <v>18341.630949999999</v>
      </c>
      <c r="Q132" s="56" t="e">
        <f>L132+M132+P132+#REF!+#REF!+#REF!+#REF!</f>
        <v>#REF!</v>
      </c>
      <c r="R132" s="30">
        <f t="shared" si="20"/>
        <v>173.57298549270848</v>
      </c>
      <c r="S132" s="30">
        <f t="shared" si="21"/>
        <v>94.562037027489623</v>
      </c>
    </row>
    <row r="133" spans="1:19" ht="38.25" customHeight="1">
      <c r="A133" s="394" t="s">
        <v>110</v>
      </c>
      <c r="B133" s="404" t="s">
        <v>10</v>
      </c>
      <c r="C133" s="394" t="s">
        <v>10</v>
      </c>
      <c r="D133" s="8" t="s">
        <v>7</v>
      </c>
      <c r="E133" s="405" t="s">
        <v>322</v>
      </c>
      <c r="F133" s="1" t="s">
        <v>956</v>
      </c>
      <c r="G133" s="6">
        <v>843</v>
      </c>
      <c r="H133" s="6">
        <v>10</v>
      </c>
      <c r="I133" s="8" t="s">
        <v>25</v>
      </c>
      <c r="J133" s="8" t="s">
        <v>361</v>
      </c>
      <c r="K133" s="286" t="s">
        <v>396</v>
      </c>
      <c r="L133" s="30"/>
      <c r="M133" s="30">
        <v>13033.1</v>
      </c>
      <c r="N133" s="30">
        <f>'[1]без учета счетов бюджета'!$AN$79</f>
        <v>0</v>
      </c>
      <c r="O133" s="30">
        <f>'[1]без учета счетов бюджета'!$AO$79</f>
        <v>8916.2999999999993</v>
      </c>
      <c r="P133" s="30">
        <f>'[1]без учета счетов бюджета'!$AP$79</f>
        <v>8915.4706700000006</v>
      </c>
      <c r="Q133" s="56" t="e">
        <f>L133+M133+P133+#REF!+#REF!+#REF!+#REF!</f>
        <v>#REF!</v>
      </c>
      <c r="R133" s="30">
        <v>0</v>
      </c>
      <c r="S133" s="30">
        <f t="shared" si="21"/>
        <v>99.99069872032122</v>
      </c>
    </row>
    <row r="134" spans="1:19" ht="38.25" customHeight="1">
      <c r="A134" s="394" t="s">
        <v>110</v>
      </c>
      <c r="B134" s="404" t="s">
        <v>10</v>
      </c>
      <c r="C134" s="394" t="s">
        <v>10</v>
      </c>
      <c r="D134" s="8" t="s">
        <v>8</v>
      </c>
      <c r="E134" s="405" t="s">
        <v>294</v>
      </c>
      <c r="F134" s="1" t="s">
        <v>956</v>
      </c>
      <c r="G134" s="6">
        <v>843</v>
      </c>
      <c r="H134" s="6">
        <v>10</v>
      </c>
      <c r="I134" s="8" t="s">
        <v>25</v>
      </c>
      <c r="J134" s="8" t="s">
        <v>362</v>
      </c>
      <c r="K134" s="286" t="s">
        <v>396</v>
      </c>
      <c r="L134" s="30"/>
      <c r="M134" s="30">
        <f>25632.8-6094.6</f>
        <v>19538.199999999997</v>
      </c>
      <c r="N134" s="30">
        <f>'[1]без учета счетов бюджета'!$AN$80</f>
        <v>10567.1</v>
      </c>
      <c r="O134" s="30">
        <f>'[1]без учета счетов бюджета'!$AO$80</f>
        <v>10480.1</v>
      </c>
      <c r="P134" s="30">
        <f>'[1]без учета счетов бюджета'!$AP$80</f>
        <v>9426.1602800000001</v>
      </c>
      <c r="Q134" s="56" t="e">
        <f>L134+M134+P134+#REF!+#REF!+#REF!+#REF!</f>
        <v>#REF!</v>
      </c>
      <c r="R134" s="30">
        <f t="shared" si="20"/>
        <v>89.202906000700281</v>
      </c>
      <c r="S134" s="30">
        <f t="shared" si="21"/>
        <v>89.943419242182799</v>
      </c>
    </row>
    <row r="135" spans="1:19" ht="51">
      <c r="A135" s="394" t="s">
        <v>110</v>
      </c>
      <c r="B135" s="404" t="s">
        <v>508</v>
      </c>
      <c r="C135" s="394" t="s">
        <v>33</v>
      </c>
      <c r="D135" s="8"/>
      <c r="E135" s="405" t="s">
        <v>363</v>
      </c>
      <c r="F135" s="1" t="s">
        <v>956</v>
      </c>
      <c r="G135" s="6">
        <v>843</v>
      </c>
      <c r="H135" s="8" t="s">
        <v>7</v>
      </c>
      <c r="I135" s="8" t="s">
        <v>10</v>
      </c>
      <c r="J135" s="8" t="s">
        <v>368</v>
      </c>
      <c r="K135" s="6">
        <v>530</v>
      </c>
      <c r="L135" s="30">
        <f>L136</f>
        <v>0</v>
      </c>
      <c r="M135" s="30">
        <v>12286.4</v>
      </c>
      <c r="N135" s="30">
        <f>N136</f>
        <v>13202.2</v>
      </c>
      <c r="O135" s="30">
        <f t="shared" ref="O135:Q135" si="43">O136</f>
        <v>13202.2</v>
      </c>
      <c r="P135" s="30">
        <f t="shared" si="43"/>
        <v>12164.98531</v>
      </c>
      <c r="Q135" s="30">
        <f t="shared" si="43"/>
        <v>0</v>
      </c>
      <c r="R135" s="30">
        <f t="shared" si="20"/>
        <v>92.143622350820308</v>
      </c>
      <c r="S135" s="30">
        <f t="shared" si="21"/>
        <v>92.143622350820308</v>
      </c>
    </row>
    <row r="136" spans="1:19" ht="38.25" customHeight="1">
      <c r="A136" s="394" t="s">
        <v>110</v>
      </c>
      <c r="B136" s="404" t="s">
        <v>10</v>
      </c>
      <c r="C136" s="394" t="s">
        <v>33</v>
      </c>
      <c r="D136" s="8" t="s">
        <v>7</v>
      </c>
      <c r="E136" s="405" t="s">
        <v>364</v>
      </c>
      <c r="F136" s="1" t="s">
        <v>956</v>
      </c>
      <c r="G136" s="6">
        <v>843</v>
      </c>
      <c r="H136" s="8" t="s">
        <v>7</v>
      </c>
      <c r="I136" s="8" t="s">
        <v>10</v>
      </c>
      <c r="J136" s="8" t="s">
        <v>369</v>
      </c>
      <c r="K136" s="6">
        <v>530</v>
      </c>
      <c r="L136" s="30"/>
      <c r="M136" s="30">
        <f>11940.8+1261.4</f>
        <v>13202.199999999999</v>
      </c>
      <c r="N136" s="30">
        <f>'[1]без учета счетов бюджета'!$AN$81</f>
        <v>13202.2</v>
      </c>
      <c r="O136" s="30">
        <f>'[1]без учета счетов бюджета'!$AO$81</f>
        <v>13202.2</v>
      </c>
      <c r="P136" s="278">
        <f>'[1]без учета счетов бюджета'!$AP$81</f>
        <v>12164.98531</v>
      </c>
      <c r="R136" s="30">
        <f t="shared" si="20"/>
        <v>92.143622350820308</v>
      </c>
      <c r="S136" s="30">
        <f t="shared" si="21"/>
        <v>92.143622350820308</v>
      </c>
    </row>
    <row r="137" spans="1:19" ht="15.75" customHeight="1">
      <c r="A137" s="28"/>
      <c r="B137" s="28"/>
      <c r="C137" s="28"/>
      <c r="D137" s="28"/>
      <c r="E137" s="28"/>
      <c r="F137" s="28"/>
      <c r="G137" s="28"/>
      <c r="H137" s="28"/>
      <c r="I137" s="28"/>
      <c r="J137" s="28"/>
      <c r="K137" s="28"/>
      <c r="L137" s="49"/>
      <c r="M137" s="49"/>
      <c r="N137" s="49"/>
      <c r="O137" s="49"/>
      <c r="P137" s="279"/>
    </row>
    <row r="138" spans="1:19" ht="15">
      <c r="A138" s="28"/>
      <c r="B138" s="28"/>
      <c r="C138" s="28"/>
      <c r="D138" s="16"/>
      <c r="E138" s="521" t="s">
        <v>578</v>
      </c>
      <c r="F138" s="521"/>
      <c r="G138" s="521"/>
      <c r="H138" s="521"/>
      <c r="I138" s="521"/>
      <c r="J138" s="521"/>
      <c r="K138" s="521"/>
      <c r="L138" s="521"/>
      <c r="M138" s="521"/>
      <c r="N138" s="521"/>
      <c r="O138" s="521"/>
      <c r="P138" s="521"/>
    </row>
  </sheetData>
  <autoFilter ref="A20:AE20">
    <filterColumn colId="13"/>
    <filterColumn colId="14"/>
  </autoFilter>
  <mergeCells count="43">
    <mergeCell ref="A8:S8"/>
    <mergeCell ref="A9:S9"/>
    <mergeCell ref="A10:S10"/>
    <mergeCell ref="A12:S12"/>
    <mergeCell ref="A13:S13"/>
    <mergeCell ref="E138:P138"/>
    <mergeCell ref="A16:P16"/>
    <mergeCell ref="A124:A125"/>
    <mergeCell ref="B124:B125"/>
    <mergeCell ref="C124:C125"/>
    <mergeCell ref="D124:D125"/>
    <mergeCell ref="E124:E125"/>
    <mergeCell ref="A97:A98"/>
    <mergeCell ref="B97:B98"/>
    <mergeCell ref="C97:C98"/>
    <mergeCell ref="D97:D98"/>
    <mergeCell ref="E97:E98"/>
    <mergeCell ref="A67:A69"/>
    <mergeCell ref="B67:B69"/>
    <mergeCell ref="C67:C69"/>
    <mergeCell ref="D67:D69"/>
    <mergeCell ref="E67:E69"/>
    <mergeCell ref="A86:A88"/>
    <mergeCell ref="B86:B88"/>
    <mergeCell ref="C86:C88"/>
    <mergeCell ref="D86:D88"/>
    <mergeCell ref="E86:E88"/>
    <mergeCell ref="A21:A23"/>
    <mergeCell ref="B21:B23"/>
    <mergeCell ref="C21:C23"/>
    <mergeCell ref="D21:D23"/>
    <mergeCell ref="E21:E23"/>
    <mergeCell ref="A24:A25"/>
    <mergeCell ref="B24:B25"/>
    <mergeCell ref="C24:C25"/>
    <mergeCell ref="D24:D25"/>
    <mergeCell ref="E24:E25"/>
    <mergeCell ref="R19:S19"/>
    <mergeCell ref="A19:D19"/>
    <mergeCell ref="E19:E20"/>
    <mergeCell ref="F19:F20"/>
    <mergeCell ref="G19:K19"/>
    <mergeCell ref="L19:P19"/>
  </mergeCells>
  <printOptions horizontalCentered="1"/>
  <pageMargins left="0.27559055118110237" right="0.35433070866141736" top="0.37" bottom="0.25" header="0.17" footer="0.28999999999999998"/>
  <pageSetup paperSize="9" scale="61" fitToHeight="24"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sheetPr>
    <tabColor theme="9" tint="0.39997558519241921"/>
    <pageSetUpPr fitToPage="1"/>
  </sheetPr>
  <dimension ref="A1:G219"/>
  <sheetViews>
    <sheetView topLeftCell="A16" zoomScale="90" zoomScaleNormal="90" workbookViewId="0">
      <selection activeCell="K55" sqref="K55"/>
    </sheetView>
  </sheetViews>
  <sheetFormatPr defaultRowHeight="15.75" customHeight="1"/>
  <cols>
    <col min="1" max="1" width="6.28515625" style="35" customWidth="1"/>
    <col min="2" max="2" width="7" style="35" customWidth="1"/>
    <col min="3" max="3" width="36" style="36" customWidth="1"/>
    <col min="4" max="4" width="43" style="36" customWidth="1"/>
    <col min="5" max="5" width="19.42578125" style="12" customWidth="1"/>
    <col min="6" max="6" width="18.140625" style="36" customWidth="1"/>
    <col min="7" max="7" width="18.5703125" style="329" customWidth="1"/>
    <col min="8" max="16384" width="9.140625" style="36"/>
  </cols>
  <sheetData>
    <row r="1" spans="1:7" s="88" customFormat="1" ht="15.75" customHeight="1">
      <c r="D1" s="94"/>
      <c r="E1" s="291" t="s">
        <v>584</v>
      </c>
      <c r="F1" s="292"/>
      <c r="G1" s="326"/>
    </row>
    <row r="2" spans="1:7" s="88" customFormat="1" ht="15.75" customHeight="1">
      <c r="D2" s="94"/>
      <c r="E2" s="291" t="s">
        <v>654</v>
      </c>
      <c r="F2" s="292"/>
      <c r="G2" s="326"/>
    </row>
    <row r="3" spans="1:7" s="88" customFormat="1" ht="15.75" customHeight="1">
      <c r="D3" s="94"/>
      <c r="E3" s="291" t="s">
        <v>655</v>
      </c>
      <c r="F3" s="292"/>
      <c r="G3" s="326"/>
    </row>
    <row r="4" spans="1:7" s="88" customFormat="1" ht="15.75" customHeight="1">
      <c r="D4" s="94"/>
      <c r="E4" s="291" t="s">
        <v>612</v>
      </c>
      <c r="F4" s="292"/>
      <c r="G4" s="326"/>
    </row>
    <row r="5" spans="1:7" s="88" customFormat="1" ht="15.75" customHeight="1">
      <c r="D5" s="94"/>
      <c r="E5" s="292"/>
      <c r="F5" s="292"/>
      <c r="G5" s="326"/>
    </row>
    <row r="6" spans="1:7" s="88" customFormat="1" ht="15.75" customHeight="1">
      <c r="D6" s="94"/>
      <c r="E6" s="292"/>
      <c r="G6" s="331" t="s">
        <v>585</v>
      </c>
    </row>
    <row r="7" spans="1:7" s="88" customFormat="1" ht="15.75" customHeight="1">
      <c r="A7" s="293"/>
      <c r="D7" s="94"/>
      <c r="E7" s="292"/>
      <c r="F7" s="292"/>
      <c r="G7" s="326"/>
    </row>
    <row r="8" spans="1:7" s="88" customFormat="1" ht="15.75" customHeight="1">
      <c r="A8" s="543" t="s">
        <v>586</v>
      </c>
      <c r="B8" s="543"/>
      <c r="C8" s="543"/>
      <c r="D8" s="543"/>
      <c r="E8" s="543"/>
      <c r="F8" s="543"/>
      <c r="G8" s="326"/>
    </row>
    <row r="9" spans="1:7" s="88" customFormat="1" ht="15.75" customHeight="1">
      <c r="A9" s="543" t="s">
        <v>587</v>
      </c>
      <c r="B9" s="543"/>
      <c r="C9" s="543"/>
      <c r="D9" s="543"/>
      <c r="E9" s="543"/>
      <c r="F9" s="543"/>
      <c r="G9" s="326"/>
    </row>
    <row r="10" spans="1:7" s="88" customFormat="1" ht="15.75" customHeight="1">
      <c r="A10" s="543" t="s">
        <v>953</v>
      </c>
      <c r="B10" s="543"/>
      <c r="C10" s="543"/>
      <c r="D10" s="543"/>
      <c r="E10" s="543"/>
      <c r="F10" s="543"/>
      <c r="G10" s="326"/>
    </row>
    <row r="11" spans="1:7" s="88" customFormat="1" ht="15.75" customHeight="1">
      <c r="D11" s="94"/>
      <c r="E11" s="294"/>
      <c r="F11" s="292"/>
      <c r="G11" s="326"/>
    </row>
    <row r="12" spans="1:7" s="88" customFormat="1" ht="15.75" customHeight="1">
      <c r="A12" s="544" t="s">
        <v>588</v>
      </c>
      <c r="B12" s="544"/>
      <c r="C12" s="544"/>
      <c r="D12" s="544"/>
      <c r="E12" s="544"/>
      <c r="F12" s="544"/>
      <c r="G12" s="326"/>
    </row>
    <row r="13" spans="1:7" s="88" customFormat="1" ht="15.75" customHeight="1">
      <c r="A13" s="544" t="s">
        <v>582</v>
      </c>
      <c r="B13" s="544"/>
      <c r="C13" s="544"/>
      <c r="D13" s="544"/>
      <c r="E13" s="544"/>
      <c r="F13" s="544"/>
      <c r="G13" s="326"/>
    </row>
    <row r="14" spans="1:7" s="88" customFormat="1" ht="15.75" customHeight="1">
      <c r="A14" s="88" t="s">
        <v>583</v>
      </c>
      <c r="D14" s="94"/>
      <c r="E14" s="294"/>
      <c r="F14" s="292"/>
      <c r="G14" s="326"/>
    </row>
    <row r="15" spans="1:7" s="88" customFormat="1" ht="15.75" customHeight="1">
      <c r="D15" s="94"/>
      <c r="E15" s="294"/>
      <c r="F15" s="292"/>
      <c r="G15" s="326"/>
    </row>
    <row r="16" spans="1:7" s="94" customFormat="1" ht="15.75" customHeight="1">
      <c r="A16" s="534" t="s">
        <v>657</v>
      </c>
      <c r="B16" s="534"/>
      <c r="C16" s="534"/>
      <c r="D16" s="534"/>
      <c r="E16" s="534"/>
      <c r="F16" s="534"/>
      <c r="G16" s="327"/>
    </row>
    <row r="17" spans="1:7" s="88" customFormat="1" ht="15.75" customHeight="1">
      <c r="A17" s="293"/>
      <c r="D17" s="94"/>
      <c r="E17" s="292"/>
      <c r="F17" s="292"/>
      <c r="G17" s="326"/>
    </row>
    <row r="18" spans="1:7" s="9" customFormat="1" ht="15.75" customHeight="1">
      <c r="A18" s="536" t="s">
        <v>3</v>
      </c>
      <c r="B18" s="537"/>
      <c r="C18" s="538" t="s">
        <v>54</v>
      </c>
      <c r="D18" s="538" t="s">
        <v>55</v>
      </c>
      <c r="E18" s="539" t="s">
        <v>509</v>
      </c>
      <c r="F18" s="539"/>
      <c r="G18" s="529" t="s">
        <v>651</v>
      </c>
    </row>
    <row r="19" spans="1:7" s="9" customFormat="1" ht="57" customHeight="1">
      <c r="A19" s="37" t="s">
        <v>4</v>
      </c>
      <c r="B19" s="38" t="s">
        <v>5</v>
      </c>
      <c r="C19" s="495" t="s">
        <v>38</v>
      </c>
      <c r="D19" s="495"/>
      <c r="E19" s="325" t="s">
        <v>652</v>
      </c>
      <c r="F19" s="325" t="s">
        <v>653</v>
      </c>
      <c r="G19" s="529"/>
    </row>
    <row r="20" spans="1:7" s="9" customFormat="1" ht="15.75" customHeight="1">
      <c r="A20" s="530" t="s">
        <v>110</v>
      </c>
      <c r="B20" s="530"/>
      <c r="C20" s="540" t="s">
        <v>181</v>
      </c>
      <c r="D20" s="15" t="s">
        <v>575</v>
      </c>
      <c r="E20" s="29">
        <f>E21+E24+E25+E26+E27</f>
        <v>7544210.2999999998</v>
      </c>
      <c r="F20" s="29">
        <f>F21+F24+F25+F26+F27</f>
        <v>7744893.05743</v>
      </c>
      <c r="G20" s="328">
        <f>F20/E20%</f>
        <v>102.66008965086776</v>
      </c>
    </row>
    <row r="21" spans="1:7" s="45" customFormat="1" ht="15.75" customHeight="1">
      <c r="A21" s="531"/>
      <c r="B21" s="531"/>
      <c r="C21" s="541"/>
      <c r="D21" s="15" t="s">
        <v>571</v>
      </c>
      <c r="E21" s="29">
        <f t="shared" ref="E21:F23" si="0">E29+E37+E45+E53</f>
        <v>7540759.7999999998</v>
      </c>
      <c r="F21" s="29">
        <f t="shared" si="0"/>
        <v>7739698.1574299997</v>
      </c>
      <c r="G21" s="328">
        <f t="shared" ref="G21:G53" si="1">F21/E21%</f>
        <v>102.63817390695829</v>
      </c>
    </row>
    <row r="22" spans="1:7" s="9" customFormat="1" ht="15.75" customHeight="1">
      <c r="A22" s="531"/>
      <c r="B22" s="531"/>
      <c r="C22" s="541"/>
      <c r="D22" s="15" t="s">
        <v>506</v>
      </c>
      <c r="E22" s="29">
        <f t="shared" si="0"/>
        <v>150000</v>
      </c>
      <c r="F22" s="29">
        <f t="shared" si="0"/>
        <v>195494.58056</v>
      </c>
      <c r="G22" s="328">
        <f t="shared" si="1"/>
        <v>130.32972037333334</v>
      </c>
    </row>
    <row r="23" spans="1:7" s="9" customFormat="1" ht="15.75" customHeight="1">
      <c r="A23" s="531"/>
      <c r="B23" s="531"/>
      <c r="C23" s="541"/>
      <c r="D23" s="15" t="s">
        <v>56</v>
      </c>
      <c r="E23" s="29">
        <f t="shared" si="0"/>
        <v>1845299.1</v>
      </c>
      <c r="F23" s="29">
        <f t="shared" si="0"/>
        <v>1919259.0423299996</v>
      </c>
      <c r="G23" s="328">
        <f t="shared" si="1"/>
        <v>104.00801920566695</v>
      </c>
    </row>
    <row r="24" spans="1:7" s="9" customFormat="1" ht="15.75" customHeight="1">
      <c r="A24" s="531"/>
      <c r="B24" s="531"/>
      <c r="C24" s="541"/>
      <c r="D24" s="15" t="s">
        <v>572</v>
      </c>
      <c r="E24" s="29">
        <f t="shared" ref="E24:E27" si="2">E32+E40+E48+E56</f>
        <v>0</v>
      </c>
      <c r="F24" s="29">
        <v>0</v>
      </c>
      <c r="G24" s="29">
        <v>0</v>
      </c>
    </row>
    <row r="25" spans="1:7" s="9" customFormat="1" ht="15.75" customHeight="1">
      <c r="A25" s="531"/>
      <c r="B25" s="531"/>
      <c r="C25" s="541"/>
      <c r="D25" s="15" t="s">
        <v>57</v>
      </c>
      <c r="E25" s="29">
        <f t="shared" si="2"/>
        <v>0</v>
      </c>
      <c r="F25" s="29">
        <v>0</v>
      </c>
      <c r="G25" s="29">
        <v>0</v>
      </c>
    </row>
    <row r="26" spans="1:7" s="9" customFormat="1" ht="15.75" customHeight="1">
      <c r="A26" s="531"/>
      <c r="B26" s="531"/>
      <c r="C26" s="541"/>
      <c r="D26" s="15" t="s">
        <v>573</v>
      </c>
      <c r="E26" s="29">
        <f>E34+E42+E50+E58</f>
        <v>0</v>
      </c>
      <c r="F26" s="29">
        <v>0</v>
      </c>
      <c r="G26" s="29">
        <v>0</v>
      </c>
    </row>
    <row r="27" spans="1:7" s="9" customFormat="1" ht="15.75" customHeight="1">
      <c r="A27" s="532"/>
      <c r="B27" s="532"/>
      <c r="C27" s="542"/>
      <c r="D27" s="15" t="s">
        <v>574</v>
      </c>
      <c r="E27" s="29">
        <f t="shared" si="2"/>
        <v>3450.5</v>
      </c>
      <c r="F27" s="29">
        <f>F35+F43+F51+F59</f>
        <v>5194.8999999999996</v>
      </c>
      <c r="G27" s="328">
        <f t="shared" si="1"/>
        <v>150.55499203014054</v>
      </c>
    </row>
    <row r="28" spans="1:7" s="9" customFormat="1" ht="15.75" customHeight="1">
      <c r="A28" s="530" t="s">
        <v>110</v>
      </c>
      <c r="B28" s="530" t="s">
        <v>99</v>
      </c>
      <c r="C28" s="540" t="s">
        <v>58</v>
      </c>
      <c r="D28" s="15" t="s">
        <v>575</v>
      </c>
      <c r="E28" s="29">
        <f>E29</f>
        <v>3394065.4</v>
      </c>
      <c r="F28" s="29">
        <v>3659543.8336999998</v>
      </c>
      <c r="G28" s="328">
        <f t="shared" si="1"/>
        <v>107.82184202166522</v>
      </c>
    </row>
    <row r="29" spans="1:7" s="9" customFormat="1" ht="15.75" customHeight="1">
      <c r="A29" s="531"/>
      <c r="B29" s="531"/>
      <c r="C29" s="541"/>
      <c r="D29" s="15" t="s">
        <v>571</v>
      </c>
      <c r="E29" s="29">
        <v>3394065.4</v>
      </c>
      <c r="F29" s="29">
        <v>3659543.8336999998</v>
      </c>
      <c r="G29" s="328">
        <f t="shared" si="1"/>
        <v>107.82184202166522</v>
      </c>
    </row>
    <row r="30" spans="1:7" s="9" customFormat="1" ht="15.75" customHeight="1">
      <c r="A30" s="531"/>
      <c r="B30" s="531"/>
      <c r="C30" s="541"/>
      <c r="D30" s="15" t="s">
        <v>506</v>
      </c>
      <c r="E30" s="29">
        <v>0</v>
      </c>
      <c r="F30" s="29">
        <v>10309.39537</v>
      </c>
      <c r="G30" s="29">
        <v>0</v>
      </c>
    </row>
    <row r="31" spans="1:7" s="9" customFormat="1" ht="15.75" customHeight="1">
      <c r="A31" s="531"/>
      <c r="B31" s="531"/>
      <c r="C31" s="541"/>
      <c r="D31" s="15" t="s">
        <v>56</v>
      </c>
      <c r="E31" s="29">
        <v>1220639.3</v>
      </c>
      <c r="F31" s="280">
        <v>1319981.9645099998</v>
      </c>
      <c r="G31" s="328">
        <f t="shared" si="1"/>
        <v>108.13857660571799</v>
      </c>
    </row>
    <row r="32" spans="1:7" s="9" customFormat="1" ht="15.75" customHeight="1">
      <c r="A32" s="531"/>
      <c r="B32" s="531"/>
      <c r="C32" s="541"/>
      <c r="D32" s="15" t="s">
        <v>572</v>
      </c>
      <c r="E32" s="29">
        <v>0</v>
      </c>
      <c r="F32" s="29">
        <v>0</v>
      </c>
      <c r="G32" s="29">
        <v>0</v>
      </c>
    </row>
    <row r="33" spans="1:7" s="9" customFormat="1" ht="15.75" customHeight="1">
      <c r="A33" s="531"/>
      <c r="B33" s="531"/>
      <c r="C33" s="541"/>
      <c r="D33" s="15" t="s">
        <v>57</v>
      </c>
      <c r="E33" s="29">
        <v>0</v>
      </c>
      <c r="F33" s="29">
        <v>0</v>
      </c>
      <c r="G33" s="29">
        <v>0</v>
      </c>
    </row>
    <row r="34" spans="1:7" s="9" customFormat="1" ht="15.75" customHeight="1">
      <c r="A34" s="531"/>
      <c r="B34" s="531"/>
      <c r="C34" s="541"/>
      <c r="D34" s="15" t="s">
        <v>573</v>
      </c>
      <c r="E34" s="29">
        <v>0</v>
      </c>
      <c r="F34" s="29">
        <v>0</v>
      </c>
      <c r="G34" s="29">
        <v>0</v>
      </c>
    </row>
    <row r="35" spans="1:7" s="9" customFormat="1" ht="15.75" customHeight="1">
      <c r="A35" s="532"/>
      <c r="B35" s="532"/>
      <c r="C35" s="542"/>
      <c r="D35" s="15" t="s">
        <v>574</v>
      </c>
      <c r="E35" s="29">
        <v>0</v>
      </c>
      <c r="F35" s="29">
        <v>0</v>
      </c>
      <c r="G35" s="29">
        <v>0</v>
      </c>
    </row>
    <row r="36" spans="1:7" s="9" customFormat="1" ht="15.75" customHeight="1">
      <c r="A36" s="530" t="s">
        <v>110</v>
      </c>
      <c r="B36" s="530" t="s">
        <v>507</v>
      </c>
      <c r="C36" s="533" t="s">
        <v>177</v>
      </c>
      <c r="D36" s="15" t="s">
        <v>575</v>
      </c>
      <c r="E36" s="29">
        <f>E37</f>
        <v>1699311.7</v>
      </c>
      <c r="F36" s="29">
        <v>1606069.2848100001</v>
      </c>
      <c r="G36" s="328">
        <f t="shared" si="1"/>
        <v>94.512930430008822</v>
      </c>
    </row>
    <row r="37" spans="1:7" s="9" customFormat="1" ht="15.75" customHeight="1">
      <c r="A37" s="531"/>
      <c r="B37" s="531"/>
      <c r="C37" s="533"/>
      <c r="D37" s="15" t="s">
        <v>571</v>
      </c>
      <c r="E37" s="29">
        <v>1699311.7</v>
      </c>
      <c r="F37" s="29">
        <v>1606069.2848100001</v>
      </c>
      <c r="G37" s="328">
        <f t="shared" si="1"/>
        <v>94.512930430008822</v>
      </c>
    </row>
    <row r="38" spans="1:7" s="9" customFormat="1" ht="15.75" customHeight="1">
      <c r="A38" s="531"/>
      <c r="B38" s="531"/>
      <c r="C38" s="533"/>
      <c r="D38" s="15" t="s">
        <v>506</v>
      </c>
      <c r="E38" s="29">
        <v>0</v>
      </c>
      <c r="F38" s="29">
        <v>0</v>
      </c>
      <c r="G38" s="29">
        <v>0</v>
      </c>
    </row>
    <row r="39" spans="1:7" s="9" customFormat="1" ht="15.75" customHeight="1">
      <c r="A39" s="531"/>
      <c r="B39" s="531"/>
      <c r="C39" s="533"/>
      <c r="D39" s="15" t="s">
        <v>56</v>
      </c>
      <c r="E39" s="29">
        <v>624659.80000000005</v>
      </c>
      <c r="F39" s="29">
        <v>599277.07781999989</v>
      </c>
      <c r="G39" s="328">
        <f t="shared" si="1"/>
        <v>95.936552635530546</v>
      </c>
    </row>
    <row r="40" spans="1:7" s="9" customFormat="1" ht="15.75" customHeight="1">
      <c r="A40" s="531"/>
      <c r="B40" s="531"/>
      <c r="C40" s="533"/>
      <c r="D40" s="15" t="s">
        <v>572</v>
      </c>
      <c r="E40" s="29">
        <v>0</v>
      </c>
      <c r="F40" s="29">
        <v>0</v>
      </c>
      <c r="G40" s="29">
        <v>0</v>
      </c>
    </row>
    <row r="41" spans="1:7" s="9" customFormat="1" ht="15.75" customHeight="1">
      <c r="A41" s="531"/>
      <c r="B41" s="531"/>
      <c r="C41" s="533"/>
      <c r="D41" s="15" t="s">
        <v>57</v>
      </c>
      <c r="E41" s="29">
        <v>0</v>
      </c>
      <c r="F41" s="29">
        <v>0</v>
      </c>
      <c r="G41" s="29">
        <v>0</v>
      </c>
    </row>
    <row r="42" spans="1:7" s="9" customFormat="1" ht="15.75" customHeight="1">
      <c r="A42" s="531"/>
      <c r="B42" s="531"/>
      <c r="C42" s="533"/>
      <c r="D42" s="15" t="s">
        <v>573</v>
      </c>
      <c r="E42" s="29">
        <v>0</v>
      </c>
      <c r="F42" s="29">
        <v>0</v>
      </c>
      <c r="G42" s="29">
        <v>0</v>
      </c>
    </row>
    <row r="43" spans="1:7" s="9" customFormat="1" ht="15.75" customHeight="1">
      <c r="A43" s="532"/>
      <c r="B43" s="532"/>
      <c r="C43" s="533"/>
      <c r="D43" s="15" t="s">
        <v>574</v>
      </c>
      <c r="E43" s="29">
        <v>0</v>
      </c>
      <c r="F43" s="29">
        <v>0</v>
      </c>
      <c r="G43" s="29">
        <v>0</v>
      </c>
    </row>
    <row r="44" spans="1:7" s="9" customFormat="1" ht="15.75" customHeight="1">
      <c r="A44" s="530" t="s">
        <v>110</v>
      </c>
      <c r="B44" s="530" t="s">
        <v>504</v>
      </c>
      <c r="C44" s="533" t="s">
        <v>59</v>
      </c>
      <c r="D44" s="15" t="s">
        <v>575</v>
      </c>
      <c r="E44" s="29">
        <f>E45+E48+E49+E50+E51</f>
        <v>2119806.5</v>
      </c>
      <c r="F44" s="29">
        <f>F45+F48+F49+F50+F51</f>
        <v>2149396.4846299998</v>
      </c>
      <c r="G44" s="328">
        <f t="shared" si="1"/>
        <v>101.39588139908052</v>
      </c>
    </row>
    <row r="45" spans="1:7" s="9" customFormat="1" ht="15.75" customHeight="1">
      <c r="A45" s="531"/>
      <c r="B45" s="531"/>
      <c r="C45" s="533"/>
      <c r="D45" s="15" t="s">
        <v>571</v>
      </c>
      <c r="E45" s="29">
        <v>2116356</v>
      </c>
      <c r="F45" s="29">
        <v>2144201.5846299999</v>
      </c>
      <c r="G45" s="328">
        <f t="shared" si="1"/>
        <v>101.31573254357961</v>
      </c>
    </row>
    <row r="46" spans="1:7" ht="15.75" customHeight="1">
      <c r="A46" s="531"/>
      <c r="B46" s="531"/>
      <c r="C46" s="533"/>
      <c r="D46" s="15" t="s">
        <v>506</v>
      </c>
      <c r="E46" s="29">
        <v>150000</v>
      </c>
      <c r="F46" s="29">
        <v>185185.18518999999</v>
      </c>
      <c r="G46" s="328">
        <f t="shared" si="1"/>
        <v>123.45679012666666</v>
      </c>
    </row>
    <row r="47" spans="1:7" ht="15.75" customHeight="1">
      <c r="A47" s="531"/>
      <c r="B47" s="531"/>
      <c r="C47" s="533"/>
      <c r="D47" s="15" t="s">
        <v>56</v>
      </c>
      <c r="E47" s="29">
        <v>0</v>
      </c>
      <c r="F47" s="29">
        <v>0</v>
      </c>
      <c r="G47" s="29">
        <v>0</v>
      </c>
    </row>
    <row r="48" spans="1:7" ht="15.75" customHeight="1">
      <c r="A48" s="531"/>
      <c r="B48" s="531"/>
      <c r="C48" s="533"/>
      <c r="D48" s="15" t="s">
        <v>572</v>
      </c>
      <c r="E48" s="29">
        <v>0</v>
      </c>
      <c r="F48" s="29">
        <v>0</v>
      </c>
      <c r="G48" s="29">
        <v>0</v>
      </c>
    </row>
    <row r="49" spans="1:7" ht="15.75" customHeight="1">
      <c r="A49" s="531"/>
      <c r="B49" s="531"/>
      <c r="C49" s="533"/>
      <c r="D49" s="15" t="s">
        <v>57</v>
      </c>
      <c r="E49" s="29">
        <v>0</v>
      </c>
      <c r="F49" s="29">
        <v>0</v>
      </c>
      <c r="G49" s="29">
        <v>0</v>
      </c>
    </row>
    <row r="50" spans="1:7" s="18" customFormat="1" ht="15.75" customHeight="1">
      <c r="A50" s="531"/>
      <c r="B50" s="531"/>
      <c r="C50" s="533"/>
      <c r="D50" s="15" t="s">
        <v>573</v>
      </c>
      <c r="E50" s="29">
        <v>0</v>
      </c>
      <c r="F50" s="173">
        <v>0</v>
      </c>
      <c r="G50" s="29">
        <v>0</v>
      </c>
    </row>
    <row r="51" spans="1:7" ht="15.75" customHeight="1">
      <c r="A51" s="532"/>
      <c r="B51" s="532"/>
      <c r="C51" s="533"/>
      <c r="D51" s="15" t="s">
        <v>574</v>
      </c>
      <c r="E51" s="29">
        <v>3450.5</v>
      </c>
      <c r="F51" s="29">
        <v>5194.8999999999996</v>
      </c>
      <c r="G51" s="328">
        <f t="shared" si="1"/>
        <v>150.55499203014054</v>
      </c>
    </row>
    <row r="52" spans="1:7" ht="15.75" customHeight="1">
      <c r="A52" s="530" t="s">
        <v>110</v>
      </c>
      <c r="B52" s="530" t="s">
        <v>508</v>
      </c>
      <c r="C52" s="533" t="s">
        <v>72</v>
      </c>
      <c r="D52" s="15" t="s">
        <v>575</v>
      </c>
      <c r="E52" s="29">
        <f>E53+E56+E57+E58+E59</f>
        <v>331026.7</v>
      </c>
      <c r="F52" s="29">
        <v>329883.45429000002</v>
      </c>
      <c r="G52" s="328">
        <f t="shared" si="1"/>
        <v>99.654636405462156</v>
      </c>
    </row>
    <row r="53" spans="1:7" ht="15.75" customHeight="1">
      <c r="A53" s="531"/>
      <c r="B53" s="531"/>
      <c r="C53" s="533"/>
      <c r="D53" s="15" t="s">
        <v>571</v>
      </c>
      <c r="E53" s="29">
        <v>331026.7</v>
      </c>
      <c r="F53" s="29">
        <v>329883.45429000002</v>
      </c>
      <c r="G53" s="328">
        <f t="shared" si="1"/>
        <v>99.654636405462156</v>
      </c>
    </row>
    <row r="54" spans="1:7" ht="15.75" customHeight="1">
      <c r="A54" s="531"/>
      <c r="B54" s="531"/>
      <c r="C54" s="533"/>
      <c r="D54" s="15" t="s">
        <v>506</v>
      </c>
      <c r="E54" s="29">
        <v>0</v>
      </c>
      <c r="F54" s="29">
        <v>0</v>
      </c>
      <c r="G54" s="29">
        <v>0</v>
      </c>
    </row>
    <row r="55" spans="1:7" ht="15.75" customHeight="1">
      <c r="A55" s="531"/>
      <c r="B55" s="531"/>
      <c r="C55" s="533"/>
      <c r="D55" s="15" t="s">
        <v>56</v>
      </c>
      <c r="E55" s="29">
        <v>0</v>
      </c>
      <c r="F55" s="29">
        <v>0</v>
      </c>
      <c r="G55" s="29">
        <v>0</v>
      </c>
    </row>
    <row r="56" spans="1:7" ht="15.75" customHeight="1">
      <c r="A56" s="531"/>
      <c r="B56" s="531"/>
      <c r="C56" s="533"/>
      <c r="D56" s="15" t="s">
        <v>572</v>
      </c>
      <c r="E56" s="29">
        <v>0</v>
      </c>
      <c r="F56" s="29">
        <v>0</v>
      </c>
      <c r="G56" s="29">
        <v>0</v>
      </c>
    </row>
    <row r="57" spans="1:7" ht="15.75" customHeight="1">
      <c r="A57" s="531"/>
      <c r="B57" s="531"/>
      <c r="C57" s="533"/>
      <c r="D57" s="15" t="s">
        <v>57</v>
      </c>
      <c r="E57" s="29">
        <v>0</v>
      </c>
      <c r="F57" s="29">
        <v>0</v>
      </c>
      <c r="G57" s="29">
        <v>0</v>
      </c>
    </row>
    <row r="58" spans="1:7" ht="15.75" customHeight="1">
      <c r="A58" s="531"/>
      <c r="B58" s="531"/>
      <c r="C58" s="533"/>
      <c r="D58" s="15" t="s">
        <v>573</v>
      </c>
      <c r="E58" s="29">
        <v>0</v>
      </c>
      <c r="F58" s="29">
        <v>0</v>
      </c>
      <c r="G58" s="29">
        <v>0</v>
      </c>
    </row>
    <row r="59" spans="1:7" ht="15.75" customHeight="1">
      <c r="A59" s="532"/>
      <c r="B59" s="532"/>
      <c r="C59" s="533"/>
      <c r="D59" s="15" t="s">
        <v>574</v>
      </c>
      <c r="E59" s="29">
        <v>0</v>
      </c>
      <c r="F59" s="29">
        <v>0</v>
      </c>
      <c r="G59" s="29">
        <v>0</v>
      </c>
    </row>
    <row r="60" spans="1:7" ht="15.75" customHeight="1">
      <c r="A60" s="39"/>
      <c r="B60" s="39"/>
      <c r="C60" s="40"/>
      <c r="D60" s="40"/>
    </row>
    <row r="61" spans="1:7" ht="15.75" customHeight="1">
      <c r="A61" s="39"/>
      <c r="B61" s="39"/>
      <c r="C61" s="40"/>
      <c r="D61" s="40"/>
    </row>
    <row r="62" spans="1:7" ht="15.75" customHeight="1">
      <c r="A62" s="535" t="s">
        <v>576</v>
      </c>
      <c r="B62" s="535"/>
      <c r="C62" s="535"/>
      <c r="D62" s="535"/>
      <c r="E62" s="535"/>
      <c r="F62" s="535"/>
    </row>
    <row r="63" spans="1:7" ht="15.75" customHeight="1">
      <c r="A63" s="39"/>
      <c r="B63" s="39"/>
      <c r="C63" s="40"/>
      <c r="D63" s="40"/>
    </row>
    <row r="64" spans="1:7" ht="15.75" customHeight="1">
      <c r="A64" s="39"/>
      <c r="B64" s="39"/>
      <c r="C64" s="40"/>
      <c r="D64" s="40"/>
    </row>
    <row r="65" spans="1:4" ht="15.75" customHeight="1">
      <c r="A65" s="39"/>
      <c r="B65" s="39"/>
      <c r="C65" s="40"/>
      <c r="D65" s="40"/>
    </row>
    <row r="66" spans="1:4" ht="15.75" customHeight="1">
      <c r="A66" s="39"/>
      <c r="B66" s="39"/>
      <c r="C66" s="40"/>
      <c r="D66" s="40"/>
    </row>
    <row r="67" spans="1:4" ht="15.75" customHeight="1">
      <c r="A67" s="39"/>
      <c r="B67" s="39"/>
      <c r="C67" s="40"/>
      <c r="D67" s="40"/>
    </row>
    <row r="68" spans="1:4" ht="15.75" customHeight="1">
      <c r="A68" s="39"/>
      <c r="B68" s="39"/>
      <c r="C68" s="40"/>
      <c r="D68" s="40"/>
    </row>
    <row r="69" spans="1:4" ht="15.75" customHeight="1">
      <c r="A69" s="39"/>
      <c r="B69" s="39"/>
      <c r="C69" s="40"/>
      <c r="D69" s="40"/>
    </row>
    <row r="70" spans="1:4" ht="15.75" customHeight="1">
      <c r="A70" s="39"/>
      <c r="B70" s="39"/>
      <c r="C70" s="40"/>
      <c r="D70" s="40"/>
    </row>
    <row r="71" spans="1:4" ht="15.75" customHeight="1">
      <c r="A71" s="39"/>
      <c r="B71" s="39"/>
      <c r="C71" s="40"/>
      <c r="D71" s="40"/>
    </row>
    <row r="72" spans="1:4" ht="15.75" customHeight="1">
      <c r="A72" s="39"/>
      <c r="B72" s="39"/>
      <c r="C72" s="40"/>
      <c r="D72" s="40"/>
    </row>
    <row r="73" spans="1:4" ht="15.75" customHeight="1">
      <c r="A73" s="39"/>
      <c r="B73" s="39"/>
      <c r="C73" s="40"/>
      <c r="D73" s="40"/>
    </row>
    <row r="74" spans="1:4" ht="15.75" customHeight="1">
      <c r="A74" s="39"/>
      <c r="B74" s="39"/>
      <c r="C74" s="40"/>
      <c r="D74" s="40"/>
    </row>
    <row r="75" spans="1:4" ht="15.75" customHeight="1">
      <c r="A75" s="39"/>
      <c r="B75" s="39"/>
      <c r="C75" s="40"/>
      <c r="D75" s="40"/>
    </row>
    <row r="76" spans="1:4" ht="15.75" customHeight="1">
      <c r="A76" s="39"/>
      <c r="B76" s="39"/>
      <c r="C76" s="40"/>
      <c r="D76" s="40"/>
    </row>
    <row r="77" spans="1:4" ht="15.75" customHeight="1">
      <c r="A77" s="39"/>
      <c r="B77" s="39"/>
      <c r="C77" s="40"/>
      <c r="D77" s="40"/>
    </row>
    <row r="78" spans="1:4" ht="15.75" customHeight="1">
      <c r="A78" s="39"/>
      <c r="B78" s="39"/>
      <c r="C78" s="40"/>
      <c r="D78" s="40"/>
    </row>
    <row r="79" spans="1:4" ht="15.75" customHeight="1">
      <c r="A79" s="39"/>
      <c r="B79" s="39"/>
      <c r="C79" s="40"/>
      <c r="D79" s="40"/>
    </row>
    <row r="80" spans="1:4" ht="15.75" customHeight="1">
      <c r="A80" s="39"/>
      <c r="B80" s="39"/>
      <c r="C80" s="40"/>
      <c r="D80" s="40"/>
    </row>
    <row r="81" spans="1:4" ht="15.75" customHeight="1">
      <c r="A81" s="39"/>
      <c r="B81" s="39"/>
      <c r="C81" s="40"/>
      <c r="D81" s="40"/>
    </row>
    <row r="82" spans="1:4" ht="15.75" customHeight="1">
      <c r="A82" s="39"/>
      <c r="B82" s="39"/>
      <c r="C82" s="40"/>
      <c r="D82" s="40"/>
    </row>
    <row r="83" spans="1:4" ht="15.75" customHeight="1">
      <c r="A83" s="39"/>
      <c r="B83" s="39"/>
      <c r="C83" s="40"/>
      <c r="D83" s="40"/>
    </row>
    <row r="84" spans="1:4" ht="15.75" customHeight="1">
      <c r="A84" s="39"/>
      <c r="B84" s="39"/>
      <c r="C84" s="40"/>
      <c r="D84" s="40"/>
    </row>
    <row r="85" spans="1:4" ht="15.75" customHeight="1">
      <c r="A85" s="39"/>
      <c r="B85" s="39"/>
      <c r="C85" s="40"/>
      <c r="D85" s="40"/>
    </row>
    <row r="86" spans="1:4" ht="15.75" customHeight="1">
      <c r="A86" s="39"/>
      <c r="B86" s="39"/>
      <c r="C86" s="40"/>
      <c r="D86" s="40"/>
    </row>
    <row r="87" spans="1:4" ht="15.75" customHeight="1">
      <c r="A87" s="39"/>
      <c r="B87" s="39"/>
      <c r="C87" s="40"/>
      <c r="D87" s="40"/>
    </row>
    <row r="88" spans="1:4" ht="15.75" customHeight="1">
      <c r="A88" s="39"/>
      <c r="B88" s="39"/>
      <c r="C88" s="40"/>
      <c r="D88" s="40"/>
    </row>
    <row r="89" spans="1:4" ht="15.75" customHeight="1">
      <c r="A89" s="39"/>
      <c r="B89" s="39"/>
      <c r="C89" s="40"/>
      <c r="D89" s="40"/>
    </row>
    <row r="90" spans="1:4" ht="15.75" customHeight="1">
      <c r="A90" s="39"/>
      <c r="B90" s="39"/>
      <c r="C90" s="40"/>
      <c r="D90" s="40"/>
    </row>
    <row r="91" spans="1:4" ht="15.75" customHeight="1">
      <c r="A91" s="39"/>
      <c r="B91" s="39"/>
      <c r="C91" s="40"/>
      <c r="D91" s="40"/>
    </row>
    <row r="92" spans="1:4" ht="15.75" customHeight="1">
      <c r="A92" s="39"/>
      <c r="B92" s="39"/>
      <c r="C92" s="40"/>
      <c r="D92" s="40"/>
    </row>
    <row r="93" spans="1:4" ht="15.75" customHeight="1">
      <c r="A93" s="39"/>
      <c r="B93" s="39"/>
      <c r="C93" s="40"/>
      <c r="D93" s="40"/>
    </row>
    <row r="94" spans="1:4" ht="15.75" customHeight="1">
      <c r="A94" s="39"/>
      <c r="B94" s="39"/>
      <c r="C94" s="40"/>
      <c r="D94" s="40"/>
    </row>
    <row r="95" spans="1:4" ht="15.75" customHeight="1">
      <c r="A95" s="39"/>
      <c r="B95" s="39"/>
      <c r="C95" s="40"/>
      <c r="D95" s="40"/>
    </row>
    <row r="96" spans="1:4" ht="15.75" customHeight="1">
      <c r="A96" s="39"/>
      <c r="B96" s="39"/>
      <c r="C96" s="40"/>
      <c r="D96" s="40"/>
    </row>
    <row r="97" spans="1:4" ht="15.75" customHeight="1">
      <c r="A97" s="39"/>
      <c r="B97" s="39"/>
      <c r="C97" s="40"/>
      <c r="D97" s="40"/>
    </row>
    <row r="98" spans="1:4" ht="15.75" customHeight="1">
      <c r="A98" s="39"/>
      <c r="B98" s="39"/>
      <c r="C98" s="40"/>
      <c r="D98" s="40"/>
    </row>
    <row r="99" spans="1:4" ht="15.75" customHeight="1">
      <c r="A99" s="39"/>
      <c r="B99" s="39"/>
      <c r="C99" s="40"/>
      <c r="D99" s="40"/>
    </row>
    <row r="100" spans="1:4" ht="15.75" customHeight="1">
      <c r="A100" s="39"/>
      <c r="B100" s="39"/>
      <c r="C100" s="40"/>
      <c r="D100" s="40"/>
    </row>
    <row r="101" spans="1:4" ht="15.75" customHeight="1">
      <c r="A101" s="39"/>
      <c r="B101" s="39"/>
      <c r="C101" s="40"/>
      <c r="D101" s="40"/>
    </row>
    <row r="102" spans="1:4" ht="15.75" customHeight="1">
      <c r="A102" s="39"/>
      <c r="B102" s="39"/>
      <c r="C102" s="40"/>
      <c r="D102" s="40"/>
    </row>
    <row r="103" spans="1:4" ht="15.75" customHeight="1">
      <c r="A103" s="39"/>
      <c r="B103" s="39"/>
      <c r="C103" s="40"/>
      <c r="D103" s="40"/>
    </row>
    <row r="104" spans="1:4" ht="15.75" customHeight="1">
      <c r="A104" s="39"/>
      <c r="B104" s="39"/>
      <c r="C104" s="40"/>
      <c r="D104" s="40"/>
    </row>
    <row r="105" spans="1:4" ht="15.75" customHeight="1">
      <c r="A105" s="39"/>
      <c r="B105" s="39"/>
      <c r="C105" s="40"/>
      <c r="D105" s="40"/>
    </row>
    <row r="106" spans="1:4" ht="15.75" customHeight="1">
      <c r="A106" s="39"/>
      <c r="B106" s="39"/>
      <c r="C106" s="40"/>
      <c r="D106" s="40"/>
    </row>
    <row r="107" spans="1:4" ht="15.75" customHeight="1">
      <c r="A107" s="39"/>
      <c r="B107" s="39"/>
      <c r="C107" s="40"/>
      <c r="D107" s="40"/>
    </row>
    <row r="108" spans="1:4" ht="15.75" customHeight="1">
      <c r="A108" s="39"/>
      <c r="B108" s="39"/>
      <c r="C108" s="40"/>
      <c r="D108" s="40"/>
    </row>
    <row r="109" spans="1:4" ht="15.75" customHeight="1">
      <c r="A109" s="39"/>
      <c r="B109" s="39"/>
      <c r="C109" s="40"/>
      <c r="D109" s="40"/>
    </row>
    <row r="110" spans="1:4" ht="15.75" customHeight="1">
      <c r="A110" s="39"/>
      <c r="B110" s="39"/>
      <c r="C110" s="40"/>
      <c r="D110" s="40"/>
    </row>
    <row r="111" spans="1:4" ht="15.75" customHeight="1">
      <c r="A111" s="39"/>
      <c r="B111" s="39"/>
      <c r="C111" s="40"/>
      <c r="D111" s="40"/>
    </row>
    <row r="112" spans="1:4" ht="15.75" customHeight="1">
      <c r="A112" s="39"/>
      <c r="B112" s="39"/>
      <c r="C112" s="40"/>
      <c r="D112" s="40"/>
    </row>
    <row r="113" spans="1:4" ht="15.75" customHeight="1">
      <c r="A113" s="39"/>
      <c r="B113" s="39"/>
      <c r="C113" s="40"/>
      <c r="D113" s="40"/>
    </row>
    <row r="114" spans="1:4" ht="15.75" customHeight="1">
      <c r="A114" s="39"/>
      <c r="B114" s="39"/>
      <c r="C114" s="40"/>
      <c r="D114" s="40"/>
    </row>
    <row r="115" spans="1:4" ht="15.75" customHeight="1">
      <c r="A115" s="39"/>
      <c r="B115" s="39"/>
      <c r="C115" s="40"/>
      <c r="D115" s="40"/>
    </row>
    <row r="116" spans="1:4" ht="15.75" customHeight="1">
      <c r="A116" s="39"/>
      <c r="B116" s="39"/>
      <c r="C116" s="40"/>
      <c r="D116" s="40"/>
    </row>
    <row r="117" spans="1:4" ht="15.75" customHeight="1">
      <c r="A117" s="39"/>
      <c r="B117" s="39"/>
      <c r="C117" s="40"/>
      <c r="D117" s="40"/>
    </row>
    <row r="118" spans="1:4" ht="15.75" customHeight="1">
      <c r="A118" s="39"/>
      <c r="B118" s="39"/>
      <c r="C118" s="40"/>
      <c r="D118" s="40"/>
    </row>
    <row r="119" spans="1:4" ht="15.75" customHeight="1">
      <c r="A119" s="39"/>
      <c r="B119" s="39"/>
      <c r="C119" s="40"/>
      <c r="D119" s="40"/>
    </row>
    <row r="120" spans="1:4" ht="15.75" customHeight="1">
      <c r="A120" s="39"/>
      <c r="B120" s="39"/>
      <c r="C120" s="40"/>
      <c r="D120" s="40"/>
    </row>
    <row r="121" spans="1:4" ht="15.75" customHeight="1">
      <c r="A121" s="39"/>
      <c r="B121" s="39"/>
      <c r="C121" s="40"/>
      <c r="D121" s="40"/>
    </row>
    <row r="122" spans="1:4" ht="15.75" customHeight="1">
      <c r="A122" s="39"/>
      <c r="B122" s="39"/>
      <c r="C122" s="40"/>
      <c r="D122" s="40"/>
    </row>
    <row r="123" spans="1:4" ht="15.75" customHeight="1">
      <c r="A123" s="39"/>
      <c r="B123" s="39"/>
      <c r="C123" s="40"/>
      <c r="D123" s="40"/>
    </row>
    <row r="124" spans="1:4" ht="15.75" customHeight="1">
      <c r="A124" s="39"/>
      <c r="B124" s="39"/>
      <c r="C124" s="40"/>
      <c r="D124" s="40"/>
    </row>
    <row r="125" spans="1:4" ht="15.75" customHeight="1">
      <c r="A125" s="39"/>
      <c r="B125" s="39"/>
      <c r="C125" s="40"/>
      <c r="D125" s="40"/>
    </row>
    <row r="126" spans="1:4" ht="15.75" customHeight="1">
      <c r="A126" s="39"/>
      <c r="B126" s="39"/>
      <c r="C126" s="40"/>
      <c r="D126" s="40"/>
    </row>
    <row r="127" spans="1:4" ht="15.75" customHeight="1">
      <c r="A127" s="39"/>
      <c r="B127" s="39"/>
      <c r="C127" s="40"/>
      <c r="D127" s="40"/>
    </row>
    <row r="128" spans="1:4" ht="15.75" customHeight="1">
      <c r="A128" s="39"/>
      <c r="B128" s="39"/>
      <c r="C128" s="40"/>
      <c r="D128" s="40"/>
    </row>
    <row r="129" spans="1:4" ht="15.75" customHeight="1">
      <c r="A129" s="39"/>
      <c r="B129" s="39"/>
      <c r="C129" s="40"/>
      <c r="D129" s="40"/>
    </row>
    <row r="130" spans="1:4" ht="15.75" customHeight="1">
      <c r="A130" s="39"/>
      <c r="B130" s="39"/>
      <c r="C130" s="40"/>
      <c r="D130" s="40"/>
    </row>
    <row r="131" spans="1:4" ht="15.75" customHeight="1">
      <c r="A131" s="39"/>
      <c r="B131" s="39"/>
      <c r="C131" s="40"/>
      <c r="D131" s="40"/>
    </row>
    <row r="132" spans="1:4" ht="15.75" customHeight="1">
      <c r="A132" s="39"/>
      <c r="B132" s="39"/>
      <c r="C132" s="40"/>
      <c r="D132" s="40"/>
    </row>
    <row r="133" spans="1:4" ht="15.75" customHeight="1">
      <c r="A133" s="39"/>
      <c r="B133" s="39"/>
      <c r="C133" s="40"/>
      <c r="D133" s="40"/>
    </row>
    <row r="134" spans="1:4" ht="15.75" customHeight="1">
      <c r="A134" s="39"/>
      <c r="B134" s="39"/>
      <c r="C134" s="40"/>
      <c r="D134" s="40"/>
    </row>
    <row r="135" spans="1:4" ht="15.75" customHeight="1">
      <c r="A135" s="39"/>
      <c r="B135" s="39"/>
      <c r="C135" s="40"/>
      <c r="D135" s="40"/>
    </row>
    <row r="136" spans="1:4" ht="15.75" customHeight="1">
      <c r="A136" s="39"/>
      <c r="B136" s="39"/>
      <c r="C136" s="40"/>
      <c r="D136" s="40"/>
    </row>
    <row r="137" spans="1:4" ht="15.75" customHeight="1">
      <c r="A137" s="39"/>
      <c r="B137" s="39"/>
      <c r="C137" s="40"/>
      <c r="D137" s="40"/>
    </row>
    <row r="138" spans="1:4" ht="15.75" customHeight="1">
      <c r="A138" s="39"/>
      <c r="B138" s="39"/>
      <c r="C138" s="40"/>
      <c r="D138" s="40"/>
    </row>
    <row r="139" spans="1:4" ht="15.75" customHeight="1">
      <c r="A139" s="39"/>
      <c r="B139" s="39"/>
      <c r="C139" s="40"/>
      <c r="D139" s="40"/>
    </row>
    <row r="140" spans="1:4" ht="15.75" customHeight="1">
      <c r="A140" s="39"/>
      <c r="B140" s="39"/>
      <c r="C140" s="40"/>
      <c r="D140" s="40"/>
    </row>
    <row r="141" spans="1:4" ht="15.75" customHeight="1">
      <c r="A141" s="39"/>
      <c r="B141" s="39"/>
      <c r="C141" s="40"/>
      <c r="D141" s="40"/>
    </row>
    <row r="142" spans="1:4" ht="15.75" customHeight="1">
      <c r="A142" s="39"/>
      <c r="B142" s="39"/>
      <c r="C142" s="40"/>
      <c r="D142" s="40"/>
    </row>
    <row r="143" spans="1:4" ht="15.75" customHeight="1">
      <c r="A143" s="39"/>
      <c r="B143" s="39"/>
      <c r="C143" s="40"/>
      <c r="D143" s="40"/>
    </row>
    <row r="144" spans="1:4" ht="15.75" customHeight="1">
      <c r="A144" s="39"/>
      <c r="B144" s="39"/>
      <c r="C144" s="41"/>
      <c r="D144" s="40"/>
    </row>
    <row r="145" spans="1:4" ht="15.75" customHeight="1">
      <c r="A145" s="39"/>
      <c r="B145" s="39"/>
      <c r="C145" s="41"/>
      <c r="D145" s="40"/>
    </row>
    <row r="146" spans="1:4" ht="15.75" customHeight="1">
      <c r="A146" s="39"/>
      <c r="B146" s="39"/>
      <c r="C146" s="41"/>
      <c r="D146" s="40"/>
    </row>
    <row r="147" spans="1:4" ht="15.75" customHeight="1">
      <c r="A147" s="39"/>
      <c r="B147" s="39"/>
      <c r="C147" s="41"/>
      <c r="D147" s="40"/>
    </row>
    <row r="148" spans="1:4" ht="15.75" customHeight="1">
      <c r="A148" s="39"/>
      <c r="B148" s="39"/>
      <c r="C148" s="41"/>
      <c r="D148" s="40"/>
    </row>
    <row r="149" spans="1:4" ht="15.75" customHeight="1">
      <c r="A149" s="39"/>
      <c r="B149" s="39"/>
      <c r="C149" s="41"/>
      <c r="D149" s="40"/>
    </row>
    <row r="150" spans="1:4" ht="15.75" customHeight="1">
      <c r="A150" s="39"/>
      <c r="B150" s="39"/>
      <c r="C150" s="41"/>
      <c r="D150" s="40"/>
    </row>
    <row r="151" spans="1:4" ht="15.75" customHeight="1">
      <c r="A151" s="39"/>
      <c r="B151" s="39"/>
      <c r="C151" s="41"/>
      <c r="D151" s="40"/>
    </row>
    <row r="152" spans="1:4" ht="15.75" customHeight="1">
      <c r="A152" s="39"/>
      <c r="B152" s="39"/>
      <c r="C152" s="41"/>
      <c r="D152" s="40"/>
    </row>
    <row r="153" spans="1:4" ht="15.75" customHeight="1">
      <c r="A153" s="39"/>
      <c r="B153" s="39"/>
      <c r="C153" s="41"/>
      <c r="D153" s="40"/>
    </row>
    <row r="154" spans="1:4" ht="15.75" customHeight="1">
      <c r="A154" s="39"/>
      <c r="B154" s="39"/>
      <c r="C154" s="41"/>
      <c r="D154" s="40"/>
    </row>
    <row r="155" spans="1:4" ht="15.75" customHeight="1">
      <c r="A155" s="39"/>
      <c r="B155" s="39"/>
      <c r="C155" s="41"/>
      <c r="D155" s="40"/>
    </row>
    <row r="156" spans="1:4" ht="15.75" customHeight="1">
      <c r="D156" s="42"/>
    </row>
    <row r="157" spans="1:4" ht="15.75" customHeight="1">
      <c r="D157" s="42"/>
    </row>
    <row r="158" spans="1:4" ht="15.75" customHeight="1">
      <c r="D158" s="42"/>
    </row>
    <row r="159" spans="1:4" ht="15.75" customHeight="1">
      <c r="D159" s="42"/>
    </row>
    <row r="160" spans="1: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sheetData>
  <mergeCells count="27">
    <mergeCell ref="A8:F8"/>
    <mergeCell ref="A9:F9"/>
    <mergeCell ref="A10:F10"/>
    <mergeCell ref="A12:F12"/>
    <mergeCell ref="A13:F13"/>
    <mergeCell ref="A16:F16"/>
    <mergeCell ref="A62:F62"/>
    <mergeCell ref="A44:A51"/>
    <mergeCell ref="B44:B51"/>
    <mergeCell ref="C44:C51"/>
    <mergeCell ref="A18:B18"/>
    <mergeCell ref="C18:C19"/>
    <mergeCell ref="D18:D19"/>
    <mergeCell ref="E18:F18"/>
    <mergeCell ref="A20:A27"/>
    <mergeCell ref="B20:B27"/>
    <mergeCell ref="C20:C27"/>
    <mergeCell ref="A28:A35"/>
    <mergeCell ref="B28:B35"/>
    <mergeCell ref="C28:C35"/>
    <mergeCell ref="A52:A59"/>
    <mergeCell ref="G18:G19"/>
    <mergeCell ref="B52:B59"/>
    <mergeCell ref="C52:C59"/>
    <mergeCell ref="A36:A43"/>
    <mergeCell ref="B36:B43"/>
    <mergeCell ref="C36:C43"/>
  </mergeCells>
  <pageMargins left="0.35433070866141736" right="0.35433070866141736" top="0.51" bottom="0.23622047244094491" header="0.28999999999999998" footer="0.15748031496062992"/>
  <pageSetup paperSize="9" scale="94" fitToHeight="3"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M137"/>
  <sheetViews>
    <sheetView zoomScaleSheetLayoutView="70" workbookViewId="0">
      <selection activeCell="I14" sqref="I14:I15"/>
    </sheetView>
  </sheetViews>
  <sheetFormatPr defaultRowHeight="15"/>
  <cols>
    <col min="1" max="4" width="4.140625" style="429" customWidth="1"/>
    <col min="5" max="5" width="32.28515625" style="429" customWidth="1"/>
    <col min="6" max="6" width="23.5703125" style="447" customWidth="1"/>
    <col min="7" max="7" width="12" style="429" customWidth="1"/>
    <col min="8" max="8" width="11.5703125" style="429" customWidth="1"/>
    <col min="9" max="9" width="40.140625" style="429" customWidth="1"/>
    <col min="10" max="10" width="11.140625" style="429" hidden="1" customWidth="1"/>
    <col min="11" max="11" width="10.7109375" style="429" hidden="1" customWidth="1"/>
    <col min="12" max="12" width="38.140625" style="429" customWidth="1"/>
    <col min="13" max="13" width="30.140625" style="429" customWidth="1"/>
    <col min="14" max="16384" width="9.140625" style="429"/>
  </cols>
  <sheetData>
    <row r="1" spans="1:13" s="270" customFormat="1" ht="15.75">
      <c r="F1" s="422"/>
      <c r="G1" s="422"/>
      <c r="I1" s="423"/>
      <c r="L1" s="423" t="s">
        <v>584</v>
      </c>
    </row>
    <row r="2" spans="1:13" s="270" customFormat="1" ht="15.75">
      <c r="F2" s="422"/>
      <c r="G2" s="422"/>
      <c r="I2" s="423"/>
      <c r="L2" s="423" t="s">
        <v>654</v>
      </c>
    </row>
    <row r="3" spans="1:13" s="270" customFormat="1" ht="15.75">
      <c r="F3" s="422"/>
      <c r="G3" s="422"/>
      <c r="I3" s="423"/>
      <c r="L3" s="423" t="s">
        <v>660</v>
      </c>
    </row>
    <row r="4" spans="1:13" s="270" customFormat="1" ht="15.75">
      <c r="F4" s="422"/>
      <c r="G4" s="422"/>
      <c r="I4" s="423"/>
      <c r="L4" s="423" t="s">
        <v>704</v>
      </c>
    </row>
    <row r="5" spans="1:13" s="270" customFormat="1" ht="15.75">
      <c r="F5" s="422"/>
      <c r="G5" s="422"/>
      <c r="I5" s="423"/>
      <c r="L5" s="423" t="s">
        <v>612</v>
      </c>
    </row>
    <row r="6" spans="1:13" s="270" customFormat="1" ht="12.75">
      <c r="F6" s="422"/>
      <c r="G6" s="422"/>
      <c r="I6" s="424"/>
      <c r="L6" s="424"/>
      <c r="M6" s="424"/>
    </row>
    <row r="7" spans="1:13" s="270" customFormat="1" ht="12.75">
      <c r="F7" s="422"/>
      <c r="G7" s="422"/>
      <c r="I7" s="424"/>
      <c r="L7" s="424"/>
      <c r="M7" s="424"/>
    </row>
    <row r="8" spans="1:13" s="270" customFormat="1" ht="12.75">
      <c r="A8" s="425"/>
      <c r="F8" s="422"/>
      <c r="G8" s="422"/>
      <c r="I8" s="288"/>
      <c r="L8" s="288"/>
      <c r="M8" s="426" t="s">
        <v>705</v>
      </c>
    </row>
    <row r="9" spans="1:13" s="270" customFormat="1" ht="12.75">
      <c r="A9" s="608" t="s">
        <v>706</v>
      </c>
      <c r="B9" s="608"/>
      <c r="C9" s="608"/>
      <c r="D9" s="608"/>
      <c r="E9" s="608"/>
      <c r="F9" s="608"/>
      <c r="G9" s="608"/>
      <c r="H9" s="608"/>
      <c r="I9" s="608"/>
    </row>
    <row r="10" spans="1:13" s="270" customFormat="1" ht="12.75">
      <c r="A10" s="528" t="s">
        <v>952</v>
      </c>
      <c r="B10" s="528"/>
      <c r="C10" s="528"/>
      <c r="D10" s="528"/>
      <c r="E10" s="528"/>
      <c r="F10" s="528"/>
      <c r="G10" s="528"/>
      <c r="H10" s="528"/>
      <c r="I10" s="528"/>
    </row>
    <row r="11" spans="1:13" s="270" customFormat="1" ht="12.75">
      <c r="E11" s="427"/>
      <c r="F11" s="428"/>
      <c r="G11" s="428"/>
    </row>
    <row r="12" spans="1:13" ht="21" customHeight="1">
      <c r="A12" s="609" t="s">
        <v>707</v>
      </c>
      <c r="B12" s="609"/>
      <c r="C12" s="609"/>
      <c r="D12" s="609"/>
      <c r="E12" s="609"/>
      <c r="F12" s="609"/>
      <c r="G12" s="609"/>
      <c r="H12" s="609"/>
      <c r="I12" s="609"/>
    </row>
    <row r="13" spans="1:13" ht="21" customHeight="1">
      <c r="A13" s="610" t="s">
        <v>708</v>
      </c>
      <c r="B13" s="610"/>
      <c r="C13" s="610"/>
      <c r="D13" s="610"/>
      <c r="E13" s="610"/>
      <c r="F13" s="610"/>
      <c r="G13" s="610"/>
      <c r="H13" s="610"/>
      <c r="I13" s="610"/>
    </row>
    <row r="14" spans="1:13" s="430" customFormat="1" ht="49.5" customHeight="1">
      <c r="A14" s="611" t="s">
        <v>3</v>
      </c>
      <c r="B14" s="612"/>
      <c r="C14" s="612"/>
      <c r="D14" s="613"/>
      <c r="E14" s="593" t="s">
        <v>709</v>
      </c>
      <c r="F14" s="599" t="s">
        <v>710</v>
      </c>
      <c r="G14" s="592" t="s">
        <v>711</v>
      </c>
      <c r="H14" s="592" t="s">
        <v>712</v>
      </c>
      <c r="I14" s="593" t="s">
        <v>713</v>
      </c>
      <c r="L14" s="590" t="s">
        <v>714</v>
      </c>
      <c r="M14" s="592" t="s">
        <v>715</v>
      </c>
    </row>
    <row r="15" spans="1:13">
      <c r="A15" s="431" t="s">
        <v>4</v>
      </c>
      <c r="B15" s="431" t="s">
        <v>5</v>
      </c>
      <c r="C15" s="431" t="s">
        <v>12</v>
      </c>
      <c r="D15" s="431" t="s">
        <v>13</v>
      </c>
      <c r="E15" s="595"/>
      <c r="F15" s="601"/>
      <c r="G15" s="592"/>
      <c r="H15" s="592"/>
      <c r="I15" s="595"/>
      <c r="L15" s="591"/>
      <c r="M15" s="592"/>
    </row>
    <row r="16" spans="1:13">
      <c r="A16" s="593">
        <v>30</v>
      </c>
      <c r="B16" s="593"/>
      <c r="C16" s="593"/>
      <c r="D16" s="593"/>
      <c r="E16" s="596" t="s">
        <v>498</v>
      </c>
      <c r="F16" s="599"/>
      <c r="G16" s="602"/>
      <c r="H16" s="603"/>
      <c r="I16" s="593"/>
      <c r="L16" s="593"/>
      <c r="M16" s="593"/>
    </row>
    <row r="17" spans="1:13">
      <c r="A17" s="594"/>
      <c r="B17" s="594"/>
      <c r="C17" s="594"/>
      <c r="D17" s="594"/>
      <c r="E17" s="597"/>
      <c r="F17" s="600"/>
      <c r="G17" s="604"/>
      <c r="H17" s="605"/>
      <c r="I17" s="594"/>
      <c r="L17" s="594"/>
      <c r="M17" s="594"/>
    </row>
    <row r="18" spans="1:13">
      <c r="A18" s="594"/>
      <c r="B18" s="594"/>
      <c r="C18" s="594"/>
      <c r="D18" s="594"/>
      <c r="E18" s="597"/>
      <c r="F18" s="600"/>
      <c r="G18" s="604"/>
      <c r="H18" s="605"/>
      <c r="I18" s="594"/>
      <c r="L18" s="594"/>
      <c r="M18" s="594"/>
    </row>
    <row r="19" spans="1:13">
      <c r="A19" s="595"/>
      <c r="B19" s="595"/>
      <c r="C19" s="595"/>
      <c r="D19" s="595"/>
      <c r="E19" s="598"/>
      <c r="F19" s="601"/>
      <c r="G19" s="606"/>
      <c r="H19" s="607"/>
      <c r="I19" s="595"/>
      <c r="L19" s="595"/>
      <c r="M19" s="595"/>
    </row>
    <row r="20" spans="1:13" s="434" customFormat="1" ht="15" customHeight="1">
      <c r="A20" s="507" t="s">
        <v>110</v>
      </c>
      <c r="B20" s="582" t="s">
        <v>99</v>
      </c>
      <c r="C20" s="582"/>
      <c r="D20" s="584"/>
      <c r="E20" s="577" t="s">
        <v>60</v>
      </c>
      <c r="F20" s="574"/>
      <c r="G20" s="565" t="s">
        <v>716</v>
      </c>
      <c r="H20" s="566"/>
      <c r="I20" s="574"/>
      <c r="J20" s="432">
        <v>3391715.8</v>
      </c>
      <c r="K20" s="433" t="e">
        <f>J20-#REF!</f>
        <v>#REF!</v>
      </c>
      <c r="L20" s="574"/>
      <c r="M20" s="574"/>
    </row>
    <row r="21" spans="1:13" s="434" customFormat="1" ht="14.25">
      <c r="A21" s="508"/>
      <c r="B21" s="583"/>
      <c r="C21" s="583"/>
      <c r="D21" s="585"/>
      <c r="E21" s="578"/>
      <c r="F21" s="575"/>
      <c r="G21" s="567"/>
      <c r="H21" s="568"/>
      <c r="I21" s="575"/>
      <c r="L21" s="575"/>
      <c r="M21" s="575"/>
    </row>
    <row r="22" spans="1:13" s="434" customFormat="1" ht="14.25">
      <c r="A22" s="508"/>
      <c r="B22" s="583"/>
      <c r="C22" s="583"/>
      <c r="D22" s="585"/>
      <c r="E22" s="578"/>
      <c r="F22" s="575"/>
      <c r="G22" s="567"/>
      <c r="H22" s="568"/>
      <c r="I22" s="575"/>
      <c r="L22" s="575"/>
      <c r="M22" s="575"/>
    </row>
    <row r="23" spans="1:13" s="434" customFormat="1" ht="14.25">
      <c r="A23" s="508"/>
      <c r="B23" s="583"/>
      <c r="C23" s="583"/>
      <c r="D23" s="585"/>
      <c r="E23" s="578"/>
      <c r="F23" s="575"/>
      <c r="G23" s="567"/>
      <c r="H23" s="568"/>
      <c r="I23" s="575"/>
      <c r="L23" s="575"/>
      <c r="M23" s="575"/>
    </row>
    <row r="24" spans="1:13" ht="228">
      <c r="A24" s="435" t="s">
        <v>110</v>
      </c>
      <c r="B24" s="435" t="s">
        <v>99</v>
      </c>
      <c r="C24" s="435" t="s">
        <v>7</v>
      </c>
      <c r="D24" s="435"/>
      <c r="E24" s="488" t="s">
        <v>194</v>
      </c>
      <c r="F24" s="490"/>
      <c r="G24" s="551" t="s">
        <v>716</v>
      </c>
      <c r="H24" s="552"/>
      <c r="I24" s="490" t="s">
        <v>717</v>
      </c>
      <c r="J24" s="432">
        <v>3378755</v>
      </c>
      <c r="K24" s="433" t="e">
        <f>J24-#REF!</f>
        <v>#REF!</v>
      </c>
      <c r="L24" s="490" t="s">
        <v>718</v>
      </c>
      <c r="M24" s="490"/>
    </row>
    <row r="25" spans="1:13" ht="55.5" customHeight="1">
      <c r="A25" s="436" t="s">
        <v>110</v>
      </c>
      <c r="B25" s="436" t="s">
        <v>99</v>
      </c>
      <c r="C25" s="436" t="s">
        <v>7</v>
      </c>
      <c r="D25" s="437" t="s">
        <v>7</v>
      </c>
      <c r="E25" s="438" t="s">
        <v>193</v>
      </c>
      <c r="F25" s="438" t="s">
        <v>719</v>
      </c>
      <c r="G25" s="558" t="s">
        <v>716</v>
      </c>
      <c r="H25" s="558"/>
      <c r="I25" s="438" t="s">
        <v>720</v>
      </c>
      <c r="L25" s="438" t="s">
        <v>721</v>
      </c>
      <c r="M25" s="438"/>
    </row>
    <row r="26" spans="1:13" ht="48">
      <c r="A26" s="436" t="s">
        <v>110</v>
      </c>
      <c r="B26" s="436" t="s">
        <v>99</v>
      </c>
      <c r="C26" s="436" t="s">
        <v>7</v>
      </c>
      <c r="D26" s="437" t="s">
        <v>8</v>
      </c>
      <c r="E26" s="438" t="s">
        <v>197</v>
      </c>
      <c r="F26" s="438" t="s">
        <v>719</v>
      </c>
      <c r="G26" s="558" t="s">
        <v>716</v>
      </c>
      <c r="H26" s="558"/>
      <c r="I26" s="486" t="s">
        <v>722</v>
      </c>
      <c r="L26" s="486" t="s">
        <v>723</v>
      </c>
      <c r="M26" s="486" t="s">
        <v>724</v>
      </c>
    </row>
    <row r="27" spans="1:13" ht="60">
      <c r="A27" s="436" t="s">
        <v>110</v>
      </c>
      <c r="B27" s="436" t="s">
        <v>99</v>
      </c>
      <c r="C27" s="436" t="s">
        <v>7</v>
      </c>
      <c r="D27" s="437" t="s">
        <v>9</v>
      </c>
      <c r="E27" s="438" t="s">
        <v>199</v>
      </c>
      <c r="F27" s="438" t="s">
        <v>719</v>
      </c>
      <c r="G27" s="558" t="s">
        <v>716</v>
      </c>
      <c r="H27" s="558"/>
      <c r="I27" s="486" t="s">
        <v>725</v>
      </c>
      <c r="L27" s="486" t="s">
        <v>726</v>
      </c>
      <c r="M27" s="486"/>
    </row>
    <row r="28" spans="1:13" ht="96">
      <c r="A28" s="436" t="s">
        <v>110</v>
      </c>
      <c r="B28" s="436" t="s">
        <v>99</v>
      </c>
      <c r="C28" s="436" t="s">
        <v>7</v>
      </c>
      <c r="D28" s="437" t="s">
        <v>10</v>
      </c>
      <c r="E28" s="438" t="s">
        <v>201</v>
      </c>
      <c r="F28" s="485" t="s">
        <v>727</v>
      </c>
      <c r="G28" s="558" t="s">
        <v>716</v>
      </c>
      <c r="H28" s="558"/>
      <c r="I28" s="486" t="s">
        <v>728</v>
      </c>
      <c r="L28" s="486" t="s">
        <v>729</v>
      </c>
      <c r="M28" s="486"/>
    </row>
    <row r="29" spans="1:13" ht="96">
      <c r="A29" s="436" t="s">
        <v>110</v>
      </c>
      <c r="B29" s="436" t="s">
        <v>99</v>
      </c>
      <c r="C29" s="436" t="s">
        <v>7</v>
      </c>
      <c r="D29" s="437" t="s">
        <v>33</v>
      </c>
      <c r="E29" s="438" t="s">
        <v>203</v>
      </c>
      <c r="F29" s="485" t="s">
        <v>727</v>
      </c>
      <c r="G29" s="558" t="s">
        <v>716</v>
      </c>
      <c r="H29" s="558"/>
      <c r="I29" s="486" t="s">
        <v>730</v>
      </c>
      <c r="L29" s="486" t="s">
        <v>731</v>
      </c>
      <c r="M29" s="486"/>
    </row>
    <row r="30" spans="1:13" ht="96">
      <c r="A30" s="436" t="s">
        <v>110</v>
      </c>
      <c r="B30" s="436" t="s">
        <v>99</v>
      </c>
      <c r="C30" s="436" t="s">
        <v>7</v>
      </c>
      <c r="D30" s="437" t="s">
        <v>25</v>
      </c>
      <c r="E30" s="438" t="s">
        <v>206</v>
      </c>
      <c r="F30" s="485" t="s">
        <v>727</v>
      </c>
      <c r="G30" s="558" t="s">
        <v>716</v>
      </c>
      <c r="H30" s="558"/>
      <c r="I30" s="486" t="s">
        <v>732</v>
      </c>
      <c r="L30" s="486" t="s">
        <v>733</v>
      </c>
      <c r="M30" s="486"/>
    </row>
    <row r="31" spans="1:13" ht="48">
      <c r="A31" s="436" t="s">
        <v>110</v>
      </c>
      <c r="B31" s="436" t="s">
        <v>99</v>
      </c>
      <c r="C31" s="436" t="s">
        <v>7</v>
      </c>
      <c r="D31" s="437" t="s">
        <v>6</v>
      </c>
      <c r="E31" s="438" t="s">
        <v>207</v>
      </c>
      <c r="F31" s="438" t="s">
        <v>719</v>
      </c>
      <c r="G31" s="558" t="s">
        <v>716</v>
      </c>
      <c r="H31" s="558"/>
      <c r="I31" s="486" t="s">
        <v>734</v>
      </c>
      <c r="L31" s="373" t="s">
        <v>735</v>
      </c>
      <c r="M31" s="486"/>
    </row>
    <row r="32" spans="1:13" ht="96">
      <c r="A32" s="436" t="s">
        <v>110</v>
      </c>
      <c r="B32" s="436" t="s">
        <v>99</v>
      </c>
      <c r="C32" s="436" t="s">
        <v>7</v>
      </c>
      <c r="D32" s="437" t="s">
        <v>34</v>
      </c>
      <c r="E32" s="438" t="s">
        <v>209</v>
      </c>
      <c r="F32" s="485" t="s">
        <v>727</v>
      </c>
      <c r="G32" s="558" t="s">
        <v>716</v>
      </c>
      <c r="H32" s="558"/>
      <c r="I32" s="486" t="s">
        <v>736</v>
      </c>
      <c r="L32" s="486" t="s">
        <v>737</v>
      </c>
      <c r="M32" s="486"/>
    </row>
    <row r="33" spans="1:13" ht="96">
      <c r="A33" s="436" t="s">
        <v>110</v>
      </c>
      <c r="B33" s="436" t="s">
        <v>99</v>
      </c>
      <c r="C33" s="436" t="s">
        <v>7</v>
      </c>
      <c r="D33" s="437" t="s">
        <v>35</v>
      </c>
      <c r="E33" s="438" t="s">
        <v>211</v>
      </c>
      <c r="F33" s="485" t="s">
        <v>727</v>
      </c>
      <c r="G33" s="558" t="s">
        <v>716</v>
      </c>
      <c r="H33" s="558"/>
      <c r="I33" s="486" t="s">
        <v>738</v>
      </c>
      <c r="L33" s="486" t="s">
        <v>739</v>
      </c>
      <c r="M33" s="486"/>
    </row>
    <row r="34" spans="1:13" ht="72">
      <c r="A34" s="436" t="s">
        <v>110</v>
      </c>
      <c r="B34" s="436" t="s">
        <v>99</v>
      </c>
      <c r="C34" s="436" t="s">
        <v>7</v>
      </c>
      <c r="D34" s="437" t="s">
        <v>51</v>
      </c>
      <c r="E34" s="438" t="s">
        <v>213</v>
      </c>
      <c r="F34" s="438" t="s">
        <v>719</v>
      </c>
      <c r="G34" s="558" t="s">
        <v>716</v>
      </c>
      <c r="H34" s="558"/>
      <c r="I34" s="486" t="s">
        <v>740</v>
      </c>
      <c r="L34" s="1" t="s">
        <v>741</v>
      </c>
      <c r="M34" s="486" t="s">
        <v>742</v>
      </c>
    </row>
    <row r="35" spans="1:13" ht="63.75">
      <c r="A35" s="436" t="s">
        <v>110</v>
      </c>
      <c r="B35" s="436" t="s">
        <v>99</v>
      </c>
      <c r="C35" s="436" t="s">
        <v>7</v>
      </c>
      <c r="D35" s="437" t="s">
        <v>68</v>
      </c>
      <c r="E35" s="438" t="s">
        <v>216</v>
      </c>
      <c r="F35" s="438" t="s">
        <v>719</v>
      </c>
      <c r="G35" s="558" t="s">
        <v>716</v>
      </c>
      <c r="H35" s="558"/>
      <c r="I35" s="486" t="s">
        <v>743</v>
      </c>
      <c r="L35" s="1" t="s">
        <v>744</v>
      </c>
      <c r="M35" s="486"/>
    </row>
    <row r="36" spans="1:13" ht="72">
      <c r="A36" s="436" t="s">
        <v>110</v>
      </c>
      <c r="B36" s="436" t="s">
        <v>99</v>
      </c>
      <c r="C36" s="436" t="s">
        <v>7</v>
      </c>
      <c r="D36" s="437" t="s">
        <v>69</v>
      </c>
      <c r="E36" s="438" t="s">
        <v>217</v>
      </c>
      <c r="F36" s="438" t="s">
        <v>719</v>
      </c>
      <c r="G36" s="558" t="s">
        <v>716</v>
      </c>
      <c r="H36" s="558"/>
      <c r="I36" s="486" t="s">
        <v>745</v>
      </c>
      <c r="L36" s="486" t="s">
        <v>746</v>
      </c>
      <c r="M36" s="486" t="s">
        <v>944</v>
      </c>
    </row>
    <row r="37" spans="1:13" ht="48">
      <c r="A37" s="436" t="s">
        <v>110</v>
      </c>
      <c r="B37" s="436" t="s">
        <v>99</v>
      </c>
      <c r="C37" s="436" t="s">
        <v>7</v>
      </c>
      <c r="D37" s="437" t="s">
        <v>73</v>
      </c>
      <c r="E37" s="438" t="s">
        <v>219</v>
      </c>
      <c r="F37" s="438" t="s">
        <v>719</v>
      </c>
      <c r="G37" s="558" t="s">
        <v>716</v>
      </c>
      <c r="H37" s="558"/>
      <c r="I37" s="486" t="s">
        <v>747</v>
      </c>
      <c r="L37" s="486" t="s">
        <v>748</v>
      </c>
      <c r="M37" s="486"/>
    </row>
    <row r="38" spans="1:13" ht="60">
      <c r="A38" s="436" t="s">
        <v>110</v>
      </c>
      <c r="B38" s="436" t="s">
        <v>99</v>
      </c>
      <c r="C38" s="436" t="s">
        <v>7</v>
      </c>
      <c r="D38" s="437" t="s">
        <v>75</v>
      </c>
      <c r="E38" s="438" t="s">
        <v>221</v>
      </c>
      <c r="F38" s="486" t="s">
        <v>749</v>
      </c>
      <c r="G38" s="558" t="s">
        <v>716</v>
      </c>
      <c r="H38" s="558"/>
      <c r="I38" s="486" t="s">
        <v>750</v>
      </c>
      <c r="L38" s="486" t="s">
        <v>751</v>
      </c>
      <c r="M38" s="486"/>
    </row>
    <row r="39" spans="1:13" ht="132">
      <c r="A39" s="436" t="s">
        <v>110</v>
      </c>
      <c r="B39" s="436" t="s">
        <v>99</v>
      </c>
      <c r="C39" s="436" t="s">
        <v>7</v>
      </c>
      <c r="D39" s="437" t="s">
        <v>76</v>
      </c>
      <c r="E39" s="438" t="s">
        <v>223</v>
      </c>
      <c r="F39" s="485" t="s">
        <v>727</v>
      </c>
      <c r="G39" s="558" t="s">
        <v>716</v>
      </c>
      <c r="H39" s="558"/>
      <c r="I39" s="486" t="s">
        <v>752</v>
      </c>
      <c r="L39" s="486" t="s">
        <v>753</v>
      </c>
      <c r="M39" s="486"/>
    </row>
    <row r="40" spans="1:13" ht="96">
      <c r="A40" s="436" t="s">
        <v>110</v>
      </c>
      <c r="B40" s="436" t="s">
        <v>99</v>
      </c>
      <c r="C40" s="436" t="s">
        <v>7</v>
      </c>
      <c r="D40" s="437" t="s">
        <v>182</v>
      </c>
      <c r="E40" s="438" t="s">
        <v>754</v>
      </c>
      <c r="F40" s="485" t="s">
        <v>719</v>
      </c>
      <c r="G40" s="558" t="s">
        <v>716</v>
      </c>
      <c r="H40" s="558"/>
      <c r="I40" s="486" t="s">
        <v>755</v>
      </c>
      <c r="L40" s="486" t="s">
        <v>756</v>
      </c>
      <c r="M40" s="486" t="s">
        <v>757</v>
      </c>
    </row>
    <row r="41" spans="1:13" ht="60">
      <c r="A41" s="436" t="s">
        <v>110</v>
      </c>
      <c r="B41" s="436" t="s">
        <v>99</v>
      </c>
      <c r="C41" s="436" t="s">
        <v>7</v>
      </c>
      <c r="D41" s="437" t="s">
        <v>228</v>
      </c>
      <c r="E41" s="438" t="s">
        <v>227</v>
      </c>
      <c r="F41" s="438" t="s">
        <v>719</v>
      </c>
      <c r="G41" s="558" t="s">
        <v>716</v>
      </c>
      <c r="H41" s="558"/>
      <c r="I41" s="486" t="s">
        <v>758</v>
      </c>
      <c r="L41" s="486" t="s">
        <v>759</v>
      </c>
      <c r="M41" s="486"/>
    </row>
    <row r="42" spans="1:13" ht="60">
      <c r="A42" s="436" t="s">
        <v>110</v>
      </c>
      <c r="B42" s="436" t="s">
        <v>99</v>
      </c>
      <c r="C42" s="436" t="s">
        <v>7</v>
      </c>
      <c r="D42" s="437" t="s">
        <v>230</v>
      </c>
      <c r="E42" s="438" t="s">
        <v>231</v>
      </c>
      <c r="F42" s="438" t="s">
        <v>719</v>
      </c>
      <c r="G42" s="558" t="s">
        <v>716</v>
      </c>
      <c r="H42" s="558"/>
      <c r="I42" s="486" t="s">
        <v>760</v>
      </c>
      <c r="L42" s="486" t="s">
        <v>761</v>
      </c>
      <c r="M42" s="486" t="s">
        <v>945</v>
      </c>
    </row>
    <row r="43" spans="1:13" ht="60">
      <c r="A43" s="436" t="s">
        <v>110</v>
      </c>
      <c r="B43" s="436" t="s">
        <v>99</v>
      </c>
      <c r="C43" s="436" t="s">
        <v>7</v>
      </c>
      <c r="D43" s="437" t="s">
        <v>365</v>
      </c>
      <c r="E43" s="438" t="s">
        <v>367</v>
      </c>
      <c r="F43" s="438" t="s">
        <v>749</v>
      </c>
      <c r="G43" s="558" t="s">
        <v>716</v>
      </c>
      <c r="H43" s="558"/>
      <c r="I43" s="486" t="s">
        <v>762</v>
      </c>
      <c r="L43" s="486" t="s">
        <v>763</v>
      </c>
      <c r="M43" s="486"/>
    </row>
    <row r="44" spans="1:13" ht="96">
      <c r="A44" s="436" t="s">
        <v>110</v>
      </c>
      <c r="B44" s="436" t="s">
        <v>99</v>
      </c>
      <c r="C44" s="436" t="s">
        <v>7</v>
      </c>
      <c r="D44" s="437" t="s">
        <v>552</v>
      </c>
      <c r="E44" s="438" t="s">
        <v>553</v>
      </c>
      <c r="F44" s="485" t="s">
        <v>727</v>
      </c>
      <c r="G44" s="558" t="s">
        <v>716</v>
      </c>
      <c r="H44" s="558"/>
      <c r="I44" s="486" t="s">
        <v>764</v>
      </c>
      <c r="L44" s="486" t="s">
        <v>765</v>
      </c>
      <c r="M44" s="486"/>
    </row>
    <row r="45" spans="1:13" ht="48">
      <c r="A45" s="436" t="s">
        <v>110</v>
      </c>
      <c r="B45" s="436" t="s">
        <v>99</v>
      </c>
      <c r="C45" s="436" t="s">
        <v>9</v>
      </c>
      <c r="D45" s="437"/>
      <c r="E45" s="438" t="s">
        <v>233</v>
      </c>
      <c r="F45" s="485"/>
      <c r="G45" s="558" t="s">
        <v>716</v>
      </c>
      <c r="H45" s="558"/>
      <c r="I45" s="439"/>
      <c r="L45" s="439"/>
      <c r="M45" s="439"/>
    </row>
    <row r="46" spans="1:13" ht="123.75" customHeight="1">
      <c r="A46" s="436" t="s">
        <v>110</v>
      </c>
      <c r="B46" s="436" t="s">
        <v>99</v>
      </c>
      <c r="C46" s="436" t="s">
        <v>9</v>
      </c>
      <c r="D46" s="437" t="s">
        <v>7</v>
      </c>
      <c r="E46" s="438" t="s">
        <v>766</v>
      </c>
      <c r="F46" s="438" t="s">
        <v>749</v>
      </c>
      <c r="G46" s="558" t="s">
        <v>716</v>
      </c>
      <c r="H46" s="558"/>
      <c r="I46" s="486" t="s">
        <v>767</v>
      </c>
      <c r="L46" s="486" t="s">
        <v>948</v>
      </c>
      <c r="M46" s="486" t="s">
        <v>947</v>
      </c>
    </row>
    <row r="47" spans="1:13" ht="60">
      <c r="A47" s="436" t="s">
        <v>110</v>
      </c>
      <c r="B47" s="436" t="s">
        <v>99</v>
      </c>
      <c r="C47" s="436" t="s">
        <v>25</v>
      </c>
      <c r="D47" s="437"/>
      <c r="E47" s="438" t="s">
        <v>23</v>
      </c>
      <c r="F47" s="438" t="s">
        <v>749</v>
      </c>
      <c r="G47" s="558" t="s">
        <v>716</v>
      </c>
      <c r="H47" s="558"/>
      <c r="I47" s="486" t="s">
        <v>768</v>
      </c>
      <c r="L47" s="486" t="s">
        <v>768</v>
      </c>
      <c r="M47" s="486"/>
    </row>
    <row r="48" spans="1:13" ht="240">
      <c r="A48" s="436" t="s">
        <v>110</v>
      </c>
      <c r="B48" s="436" t="s">
        <v>99</v>
      </c>
      <c r="C48" s="436" t="s">
        <v>25</v>
      </c>
      <c r="D48" s="437" t="s">
        <v>7</v>
      </c>
      <c r="E48" s="438" t="s">
        <v>769</v>
      </c>
      <c r="F48" s="438" t="s">
        <v>749</v>
      </c>
      <c r="G48" s="545" t="s">
        <v>716</v>
      </c>
      <c r="H48" s="546"/>
      <c r="I48" s="486" t="s">
        <v>768</v>
      </c>
      <c r="L48" s="486" t="s">
        <v>770</v>
      </c>
      <c r="M48" s="486"/>
    </row>
    <row r="49" spans="1:13" s="434" customFormat="1" ht="49.5" customHeight="1">
      <c r="A49" s="582" t="s">
        <v>110</v>
      </c>
      <c r="B49" s="582" t="s">
        <v>507</v>
      </c>
      <c r="C49" s="582"/>
      <c r="D49" s="584"/>
      <c r="E49" s="577" t="s">
        <v>176</v>
      </c>
      <c r="F49" s="440" t="s">
        <v>112</v>
      </c>
      <c r="G49" s="586"/>
      <c r="H49" s="587"/>
      <c r="I49" s="571"/>
      <c r="J49" s="434">
        <v>1699311.7</v>
      </c>
      <c r="L49" s="574" t="s">
        <v>771</v>
      </c>
      <c r="M49" s="571"/>
    </row>
    <row r="50" spans="1:13" s="434" customFormat="1" ht="43.5" customHeight="1">
      <c r="A50" s="583"/>
      <c r="B50" s="583"/>
      <c r="C50" s="583"/>
      <c r="D50" s="585"/>
      <c r="E50" s="578"/>
      <c r="F50" s="441" t="s">
        <v>120</v>
      </c>
      <c r="G50" s="588"/>
      <c r="H50" s="589"/>
      <c r="I50" s="572"/>
      <c r="J50" s="442">
        <v>1657851.7</v>
      </c>
      <c r="K50" s="443" t="e">
        <f>J49-#REF!</f>
        <v>#REF!</v>
      </c>
      <c r="L50" s="575"/>
      <c r="M50" s="572"/>
    </row>
    <row r="51" spans="1:13" ht="24">
      <c r="A51" s="436" t="s">
        <v>110</v>
      </c>
      <c r="B51" s="436" t="s">
        <v>507</v>
      </c>
      <c r="C51" s="436" t="s">
        <v>7</v>
      </c>
      <c r="D51" s="444"/>
      <c r="E51" s="438" t="s">
        <v>772</v>
      </c>
      <c r="F51" s="485"/>
      <c r="G51" s="558" t="s">
        <v>716</v>
      </c>
      <c r="H51" s="558"/>
      <c r="I51" s="439"/>
      <c r="L51" s="439"/>
      <c r="M51" s="439"/>
    </row>
    <row r="52" spans="1:13" ht="108">
      <c r="A52" s="436" t="s">
        <v>110</v>
      </c>
      <c r="B52" s="436" t="s">
        <v>507</v>
      </c>
      <c r="C52" s="436" t="s">
        <v>7</v>
      </c>
      <c r="D52" s="437" t="s">
        <v>7</v>
      </c>
      <c r="E52" s="438" t="s">
        <v>192</v>
      </c>
      <c r="F52" s="438" t="s">
        <v>773</v>
      </c>
      <c r="G52" s="558" t="s">
        <v>716</v>
      </c>
      <c r="H52" s="558"/>
      <c r="I52" s="486" t="s">
        <v>774</v>
      </c>
      <c r="L52" s="486" t="s">
        <v>775</v>
      </c>
      <c r="M52" s="486"/>
    </row>
    <row r="53" spans="1:13" ht="60" customHeight="1">
      <c r="A53" s="436" t="s">
        <v>110</v>
      </c>
      <c r="B53" s="436" t="s">
        <v>507</v>
      </c>
      <c r="C53" s="436" t="s">
        <v>7</v>
      </c>
      <c r="D53" s="437" t="s">
        <v>8</v>
      </c>
      <c r="E53" s="438" t="s">
        <v>24</v>
      </c>
      <c r="F53" s="438" t="s">
        <v>719</v>
      </c>
      <c r="G53" s="558" t="s">
        <v>716</v>
      </c>
      <c r="H53" s="558"/>
      <c r="I53" s="486" t="s">
        <v>776</v>
      </c>
      <c r="L53" s="486" t="s">
        <v>777</v>
      </c>
      <c r="M53" s="445" t="s">
        <v>778</v>
      </c>
    </row>
    <row r="54" spans="1:13" ht="87.75" customHeight="1">
      <c r="A54" s="436" t="s">
        <v>110</v>
      </c>
      <c r="B54" s="436" t="s">
        <v>507</v>
      </c>
      <c r="C54" s="436" t="s">
        <v>7</v>
      </c>
      <c r="D54" s="437" t="s">
        <v>9</v>
      </c>
      <c r="E54" s="438" t="s">
        <v>263</v>
      </c>
      <c r="F54" s="438" t="s">
        <v>719</v>
      </c>
      <c r="G54" s="558" t="s">
        <v>716</v>
      </c>
      <c r="H54" s="558"/>
      <c r="I54" s="486" t="s">
        <v>779</v>
      </c>
      <c r="L54" s="458" t="s">
        <v>780</v>
      </c>
      <c r="M54" s="486" t="s">
        <v>781</v>
      </c>
    </row>
    <row r="55" spans="1:13" ht="144">
      <c r="A55" s="446" t="s">
        <v>110</v>
      </c>
      <c r="B55" s="437" t="s">
        <v>507</v>
      </c>
      <c r="C55" s="437" t="s">
        <v>7</v>
      </c>
      <c r="D55" s="446" t="s">
        <v>10</v>
      </c>
      <c r="E55" s="486" t="s">
        <v>782</v>
      </c>
      <c r="F55" s="438" t="s">
        <v>719</v>
      </c>
      <c r="G55" s="581" t="s">
        <v>716</v>
      </c>
      <c r="H55" s="581"/>
      <c r="I55" s="486" t="s">
        <v>783</v>
      </c>
      <c r="L55" s="486" t="s">
        <v>784</v>
      </c>
      <c r="M55" s="486"/>
    </row>
    <row r="56" spans="1:13" ht="48">
      <c r="A56" s="436" t="s">
        <v>110</v>
      </c>
      <c r="B56" s="436" t="s">
        <v>507</v>
      </c>
      <c r="C56" s="436" t="s">
        <v>7</v>
      </c>
      <c r="D56" s="437" t="s">
        <v>33</v>
      </c>
      <c r="E56" s="438" t="s">
        <v>272</v>
      </c>
      <c r="F56" s="438" t="s">
        <v>719</v>
      </c>
      <c r="G56" s="558" t="s">
        <v>716</v>
      </c>
      <c r="H56" s="558"/>
      <c r="I56" s="486" t="s">
        <v>785</v>
      </c>
      <c r="L56" s="486" t="s">
        <v>786</v>
      </c>
      <c r="M56" s="486"/>
    </row>
    <row r="57" spans="1:13" ht="97.5" customHeight="1">
      <c r="A57" s="436" t="s">
        <v>110</v>
      </c>
      <c r="B57" s="436" t="s">
        <v>507</v>
      </c>
      <c r="C57" s="436" t="s">
        <v>7</v>
      </c>
      <c r="D57" s="437" t="s">
        <v>25</v>
      </c>
      <c r="E57" s="438" t="s">
        <v>275</v>
      </c>
      <c r="F57" s="438" t="s">
        <v>719</v>
      </c>
      <c r="G57" s="558" t="s">
        <v>716</v>
      </c>
      <c r="H57" s="558"/>
      <c r="I57" s="486" t="s">
        <v>787</v>
      </c>
      <c r="L57" s="486" t="s">
        <v>788</v>
      </c>
      <c r="M57" s="486" t="s">
        <v>781</v>
      </c>
    </row>
    <row r="58" spans="1:13" ht="108">
      <c r="A58" s="436" t="s">
        <v>110</v>
      </c>
      <c r="B58" s="436" t="s">
        <v>507</v>
      </c>
      <c r="C58" s="436" t="s">
        <v>7</v>
      </c>
      <c r="D58" s="437" t="s">
        <v>6</v>
      </c>
      <c r="E58" s="438" t="s">
        <v>277</v>
      </c>
      <c r="F58" s="438" t="s">
        <v>773</v>
      </c>
      <c r="G58" s="558" t="s">
        <v>716</v>
      </c>
      <c r="H58" s="558"/>
      <c r="I58" s="486" t="s">
        <v>789</v>
      </c>
      <c r="L58" s="486" t="s">
        <v>790</v>
      </c>
      <c r="M58" s="486"/>
    </row>
    <row r="59" spans="1:13" ht="36">
      <c r="A59" s="436" t="s">
        <v>110</v>
      </c>
      <c r="B59" s="436" t="s">
        <v>507</v>
      </c>
      <c r="C59" s="436" t="s">
        <v>8</v>
      </c>
      <c r="D59" s="437"/>
      <c r="E59" s="438" t="s">
        <v>279</v>
      </c>
      <c r="G59" s="558" t="s">
        <v>716</v>
      </c>
      <c r="H59" s="558"/>
      <c r="I59" s="439"/>
      <c r="L59" s="439"/>
      <c r="M59" s="439"/>
    </row>
    <row r="60" spans="1:13" ht="48">
      <c r="A60" s="436" t="s">
        <v>110</v>
      </c>
      <c r="B60" s="436" t="s">
        <v>507</v>
      </c>
      <c r="C60" s="436" t="s">
        <v>8</v>
      </c>
      <c r="D60" s="446" t="s">
        <v>7</v>
      </c>
      <c r="E60" s="438" t="s">
        <v>281</v>
      </c>
      <c r="F60" s="438" t="s">
        <v>719</v>
      </c>
      <c r="G60" s="558" t="s">
        <v>716</v>
      </c>
      <c r="H60" s="558"/>
      <c r="I60" s="486" t="s">
        <v>791</v>
      </c>
      <c r="L60" s="486" t="s">
        <v>792</v>
      </c>
      <c r="M60" s="486"/>
    </row>
    <row r="61" spans="1:13" ht="48">
      <c r="A61" s="436" t="s">
        <v>110</v>
      </c>
      <c r="B61" s="436" t="s">
        <v>507</v>
      </c>
      <c r="C61" s="436" t="s">
        <v>8</v>
      </c>
      <c r="D61" s="446" t="s">
        <v>8</v>
      </c>
      <c r="E61" s="438" t="s">
        <v>283</v>
      </c>
      <c r="F61" s="438" t="s">
        <v>719</v>
      </c>
      <c r="G61" s="558" t="s">
        <v>716</v>
      </c>
      <c r="H61" s="558"/>
      <c r="I61" s="486" t="s">
        <v>793</v>
      </c>
      <c r="L61" s="486" t="s">
        <v>793</v>
      </c>
      <c r="M61" s="486"/>
    </row>
    <row r="62" spans="1:13" ht="60">
      <c r="A62" s="436" t="s">
        <v>110</v>
      </c>
      <c r="B62" s="436" t="s">
        <v>507</v>
      </c>
      <c r="C62" s="436" t="s">
        <v>9</v>
      </c>
      <c r="D62" s="446"/>
      <c r="E62" s="438" t="s">
        <v>394</v>
      </c>
      <c r="F62" s="485"/>
      <c r="G62" s="558" t="s">
        <v>716</v>
      </c>
      <c r="H62" s="558"/>
      <c r="I62" s="439"/>
      <c r="L62" s="439"/>
      <c r="M62" s="439"/>
    </row>
    <row r="63" spans="1:13" ht="96">
      <c r="A63" s="436" t="s">
        <v>110</v>
      </c>
      <c r="B63" s="436" t="s">
        <v>507</v>
      </c>
      <c r="C63" s="436" t="s">
        <v>9</v>
      </c>
      <c r="D63" s="446" t="s">
        <v>7</v>
      </c>
      <c r="E63" s="438" t="s">
        <v>191</v>
      </c>
      <c r="F63" s="438" t="s">
        <v>794</v>
      </c>
      <c r="G63" s="558" t="s">
        <v>716</v>
      </c>
      <c r="H63" s="558"/>
      <c r="I63" s="486" t="s">
        <v>795</v>
      </c>
      <c r="L63" s="448" t="s">
        <v>796</v>
      </c>
      <c r="M63" s="486"/>
    </row>
    <row r="64" spans="1:13" ht="36">
      <c r="A64" s="436" t="s">
        <v>110</v>
      </c>
      <c r="B64" s="436" t="s">
        <v>507</v>
      </c>
      <c r="C64" s="436" t="s">
        <v>10</v>
      </c>
      <c r="D64" s="444"/>
      <c r="E64" s="438" t="s">
        <v>287</v>
      </c>
      <c r="F64" s="485"/>
      <c r="G64" s="558" t="s">
        <v>716</v>
      </c>
      <c r="H64" s="558"/>
      <c r="I64" s="486" t="s">
        <v>797</v>
      </c>
      <c r="L64" s="486" t="s">
        <v>798</v>
      </c>
      <c r="M64" s="486"/>
    </row>
    <row r="65" spans="1:13" ht="216">
      <c r="A65" s="436" t="s">
        <v>110</v>
      </c>
      <c r="B65" s="436" t="s">
        <v>507</v>
      </c>
      <c r="C65" s="436" t="s">
        <v>10</v>
      </c>
      <c r="D65" s="437" t="s">
        <v>7</v>
      </c>
      <c r="E65" s="438" t="s">
        <v>289</v>
      </c>
      <c r="F65" s="438" t="s">
        <v>799</v>
      </c>
      <c r="G65" s="558" t="s">
        <v>716</v>
      </c>
      <c r="H65" s="558"/>
      <c r="I65" s="486" t="s">
        <v>800</v>
      </c>
      <c r="L65" s="448" t="s">
        <v>801</v>
      </c>
      <c r="M65" s="486"/>
    </row>
    <row r="66" spans="1:13" ht="132">
      <c r="A66" s="436" t="s">
        <v>110</v>
      </c>
      <c r="B66" s="436" t="s">
        <v>507</v>
      </c>
      <c r="C66" s="436" t="s">
        <v>10</v>
      </c>
      <c r="D66" s="437" t="s">
        <v>8</v>
      </c>
      <c r="E66" s="438" t="s">
        <v>292</v>
      </c>
      <c r="F66" s="438" t="s">
        <v>799</v>
      </c>
      <c r="G66" s="558" t="s">
        <v>716</v>
      </c>
      <c r="H66" s="558"/>
      <c r="I66" s="486" t="s">
        <v>800</v>
      </c>
      <c r="L66" s="448" t="s">
        <v>801</v>
      </c>
      <c r="M66" s="486"/>
    </row>
    <row r="67" spans="1:13" ht="108">
      <c r="A67" s="580" t="s">
        <v>110</v>
      </c>
      <c r="B67" s="580" t="s">
        <v>507</v>
      </c>
      <c r="C67" s="580" t="s">
        <v>25</v>
      </c>
      <c r="D67" s="580"/>
      <c r="E67" s="561" t="s">
        <v>295</v>
      </c>
      <c r="F67" s="438" t="s">
        <v>773</v>
      </c>
      <c r="G67" s="558" t="s">
        <v>716</v>
      </c>
      <c r="H67" s="558"/>
      <c r="I67" s="486" t="s">
        <v>802</v>
      </c>
      <c r="L67" s="486" t="s">
        <v>803</v>
      </c>
      <c r="M67" s="486"/>
    </row>
    <row r="68" spans="1:13" ht="36">
      <c r="A68" s="580"/>
      <c r="B68" s="580"/>
      <c r="C68" s="580"/>
      <c r="D68" s="580"/>
      <c r="E68" s="562"/>
      <c r="F68" s="486" t="s">
        <v>804</v>
      </c>
      <c r="G68" s="558" t="s">
        <v>716</v>
      </c>
      <c r="H68" s="558"/>
      <c r="I68" s="439"/>
      <c r="L68" s="439"/>
      <c r="M68" s="439"/>
    </row>
    <row r="69" spans="1:13" ht="108">
      <c r="A69" s="487" t="s">
        <v>110</v>
      </c>
      <c r="B69" s="487" t="s">
        <v>507</v>
      </c>
      <c r="C69" s="487" t="s">
        <v>25</v>
      </c>
      <c r="D69" s="487" t="s">
        <v>7</v>
      </c>
      <c r="E69" s="438" t="s">
        <v>296</v>
      </c>
      <c r="F69" s="438" t="s">
        <v>773</v>
      </c>
      <c r="G69" s="558" t="s">
        <v>716</v>
      </c>
      <c r="H69" s="558"/>
      <c r="I69" s="486" t="s">
        <v>805</v>
      </c>
      <c r="L69" s="486" t="s">
        <v>806</v>
      </c>
      <c r="M69" s="486"/>
    </row>
    <row r="70" spans="1:13" s="452" customFormat="1" ht="66.75" customHeight="1">
      <c r="A70" s="449"/>
      <c r="B70" s="449"/>
      <c r="C70" s="449"/>
      <c r="D70" s="449"/>
      <c r="E70" s="450" t="s">
        <v>807</v>
      </c>
      <c r="F70" s="451"/>
      <c r="G70" s="557" t="s">
        <v>716</v>
      </c>
      <c r="H70" s="557"/>
      <c r="I70" s="451" t="s">
        <v>808</v>
      </c>
      <c r="L70" s="451" t="s">
        <v>809</v>
      </c>
      <c r="M70" s="451"/>
    </row>
    <row r="71" spans="1:13" s="452" customFormat="1" ht="66.75" customHeight="1">
      <c r="A71" s="449"/>
      <c r="B71" s="449"/>
      <c r="C71" s="449"/>
      <c r="D71" s="449"/>
      <c r="E71" s="450" t="s">
        <v>810</v>
      </c>
      <c r="F71" s="451"/>
      <c r="G71" s="557" t="s">
        <v>716</v>
      </c>
      <c r="H71" s="557"/>
      <c r="I71" s="451" t="s">
        <v>811</v>
      </c>
      <c r="L71" s="451" t="s">
        <v>812</v>
      </c>
      <c r="M71" s="451"/>
    </row>
    <row r="72" spans="1:13" s="452" customFormat="1" ht="48" customHeight="1">
      <c r="A72" s="449"/>
      <c r="B72" s="449"/>
      <c r="C72" s="449"/>
      <c r="D72" s="449"/>
      <c r="E72" s="450" t="s">
        <v>813</v>
      </c>
      <c r="F72" s="451"/>
      <c r="G72" s="557" t="s">
        <v>716</v>
      </c>
      <c r="H72" s="557"/>
      <c r="I72" s="451" t="s">
        <v>814</v>
      </c>
      <c r="L72" s="451" t="s">
        <v>815</v>
      </c>
      <c r="M72" s="451"/>
    </row>
    <row r="73" spans="1:13" s="452" customFormat="1" ht="93" customHeight="1">
      <c r="A73" s="449"/>
      <c r="B73" s="449"/>
      <c r="C73" s="449"/>
      <c r="D73" s="449"/>
      <c r="E73" s="450" t="s">
        <v>816</v>
      </c>
      <c r="F73" s="451"/>
      <c r="G73" s="557" t="s">
        <v>716</v>
      </c>
      <c r="H73" s="557"/>
      <c r="I73" s="451" t="s">
        <v>817</v>
      </c>
      <c r="L73" s="451" t="s">
        <v>818</v>
      </c>
      <c r="M73" s="451"/>
    </row>
    <row r="74" spans="1:13" s="452" customFormat="1" ht="90" customHeight="1">
      <c r="A74" s="449"/>
      <c r="B74" s="449"/>
      <c r="C74" s="449"/>
      <c r="D74" s="449"/>
      <c r="E74" s="450" t="s">
        <v>819</v>
      </c>
      <c r="F74" s="451"/>
      <c r="G74" s="557" t="s">
        <v>716</v>
      </c>
      <c r="H74" s="557"/>
      <c r="I74" s="451" t="s">
        <v>820</v>
      </c>
      <c r="L74" s="451" t="s">
        <v>821</v>
      </c>
      <c r="M74" s="451"/>
    </row>
    <row r="75" spans="1:13" s="452" customFormat="1" ht="42.75" customHeight="1">
      <c r="A75" s="449"/>
      <c r="B75" s="449"/>
      <c r="C75" s="449"/>
      <c r="D75" s="449"/>
      <c r="E75" s="450" t="s">
        <v>822</v>
      </c>
      <c r="F75" s="451"/>
      <c r="G75" s="557" t="s">
        <v>716</v>
      </c>
      <c r="H75" s="557"/>
      <c r="I75" s="451" t="s">
        <v>823</v>
      </c>
      <c r="L75" s="451" t="s">
        <v>824</v>
      </c>
      <c r="M75" s="451"/>
    </row>
    <row r="76" spans="1:13" s="452" customFormat="1" ht="91.5" customHeight="1">
      <c r="A76" s="449"/>
      <c r="B76" s="449"/>
      <c r="C76" s="449"/>
      <c r="D76" s="449"/>
      <c r="E76" s="450" t="s">
        <v>825</v>
      </c>
      <c r="F76" s="451"/>
      <c r="G76" s="557" t="s">
        <v>716</v>
      </c>
      <c r="H76" s="557"/>
      <c r="I76" s="451" t="s">
        <v>826</v>
      </c>
      <c r="L76" s="451" t="s">
        <v>827</v>
      </c>
      <c r="M76" s="451"/>
    </row>
    <row r="77" spans="1:13" s="452" customFormat="1" ht="258.75" customHeight="1">
      <c r="A77" s="449"/>
      <c r="B77" s="449"/>
      <c r="C77" s="449"/>
      <c r="D77" s="449"/>
      <c r="E77" s="450" t="s">
        <v>828</v>
      </c>
      <c r="F77" s="451"/>
      <c r="G77" s="557" t="s">
        <v>716</v>
      </c>
      <c r="H77" s="557"/>
      <c r="I77" s="451" t="s">
        <v>829</v>
      </c>
      <c r="L77" s="451" t="s">
        <v>830</v>
      </c>
      <c r="M77" s="451"/>
    </row>
    <row r="78" spans="1:13" ht="84">
      <c r="A78" s="487" t="s">
        <v>110</v>
      </c>
      <c r="B78" s="487" t="s">
        <v>507</v>
      </c>
      <c r="C78" s="487" t="s">
        <v>25</v>
      </c>
      <c r="D78" s="487" t="s">
        <v>8</v>
      </c>
      <c r="E78" s="438" t="s">
        <v>298</v>
      </c>
      <c r="F78" s="438" t="s">
        <v>831</v>
      </c>
      <c r="G78" s="558" t="s">
        <v>716</v>
      </c>
      <c r="H78" s="558"/>
      <c r="I78" s="486" t="s">
        <v>832</v>
      </c>
      <c r="L78" s="486" t="s">
        <v>833</v>
      </c>
      <c r="M78" s="486"/>
    </row>
    <row r="79" spans="1:13" ht="108">
      <c r="A79" s="487" t="s">
        <v>110</v>
      </c>
      <c r="B79" s="487" t="s">
        <v>507</v>
      </c>
      <c r="C79" s="487" t="s">
        <v>25</v>
      </c>
      <c r="D79" s="487" t="s">
        <v>9</v>
      </c>
      <c r="E79" s="438" t="s">
        <v>299</v>
      </c>
      <c r="F79" s="438" t="s">
        <v>773</v>
      </c>
      <c r="G79" s="558" t="s">
        <v>716</v>
      </c>
      <c r="H79" s="558"/>
      <c r="I79" s="486" t="s">
        <v>834</v>
      </c>
      <c r="L79" s="486" t="s">
        <v>835</v>
      </c>
      <c r="M79" s="486"/>
    </row>
    <row r="80" spans="1:13" ht="36">
      <c r="A80" s="487" t="s">
        <v>110</v>
      </c>
      <c r="B80" s="487" t="s">
        <v>507</v>
      </c>
      <c r="C80" s="487" t="s">
        <v>6</v>
      </c>
      <c r="D80" s="487"/>
      <c r="E80" s="438" t="s">
        <v>302</v>
      </c>
      <c r="F80" s="485"/>
      <c r="G80" s="558" t="s">
        <v>716</v>
      </c>
      <c r="H80" s="558"/>
      <c r="I80" s="439"/>
      <c r="L80" s="439"/>
      <c r="M80" s="439"/>
    </row>
    <row r="81" spans="1:13" ht="96">
      <c r="A81" s="487" t="s">
        <v>110</v>
      </c>
      <c r="B81" s="487" t="s">
        <v>507</v>
      </c>
      <c r="C81" s="487" t="s">
        <v>6</v>
      </c>
      <c r="D81" s="487" t="s">
        <v>7</v>
      </c>
      <c r="E81" s="438" t="s">
        <v>303</v>
      </c>
      <c r="F81" s="438" t="s">
        <v>836</v>
      </c>
      <c r="G81" s="558" t="s">
        <v>716</v>
      </c>
      <c r="H81" s="558"/>
      <c r="I81" s="486" t="s">
        <v>837</v>
      </c>
      <c r="L81" s="438" t="s">
        <v>838</v>
      </c>
      <c r="M81" s="486"/>
    </row>
    <row r="82" spans="1:13" ht="96">
      <c r="A82" s="487" t="s">
        <v>110</v>
      </c>
      <c r="B82" s="487" t="s">
        <v>507</v>
      </c>
      <c r="C82" s="487" t="s">
        <v>6</v>
      </c>
      <c r="D82" s="487" t="s">
        <v>8</v>
      </c>
      <c r="E82" s="438" t="s">
        <v>304</v>
      </c>
      <c r="F82" s="438" t="s">
        <v>836</v>
      </c>
      <c r="G82" s="558" t="s">
        <v>716</v>
      </c>
      <c r="H82" s="558"/>
      <c r="I82" s="486" t="s">
        <v>839</v>
      </c>
      <c r="L82" s="486" t="s">
        <v>840</v>
      </c>
      <c r="M82" s="486"/>
    </row>
    <row r="83" spans="1:13" ht="96">
      <c r="A83" s="487" t="s">
        <v>110</v>
      </c>
      <c r="B83" s="487" t="s">
        <v>507</v>
      </c>
      <c r="C83" s="487" t="s">
        <v>6</v>
      </c>
      <c r="D83" s="487" t="s">
        <v>9</v>
      </c>
      <c r="E83" s="438" t="s">
        <v>305</v>
      </c>
      <c r="F83" s="438" t="s">
        <v>836</v>
      </c>
      <c r="G83" s="558" t="s">
        <v>716</v>
      </c>
      <c r="H83" s="558"/>
      <c r="I83" s="486" t="s">
        <v>839</v>
      </c>
      <c r="L83" s="486" t="s">
        <v>841</v>
      </c>
      <c r="M83" s="486"/>
    </row>
    <row r="84" spans="1:13" ht="96">
      <c r="A84" s="487" t="s">
        <v>110</v>
      </c>
      <c r="B84" s="487" t="s">
        <v>507</v>
      </c>
      <c r="C84" s="487" t="s">
        <v>6</v>
      </c>
      <c r="D84" s="487" t="s">
        <v>10</v>
      </c>
      <c r="E84" s="438" t="s">
        <v>306</v>
      </c>
      <c r="F84" s="438" t="s">
        <v>836</v>
      </c>
      <c r="G84" s="558" t="s">
        <v>716</v>
      </c>
      <c r="H84" s="558"/>
      <c r="I84" s="438" t="s">
        <v>842</v>
      </c>
      <c r="L84" s="438" t="s">
        <v>843</v>
      </c>
      <c r="M84" s="438"/>
    </row>
    <row r="85" spans="1:13" s="434" customFormat="1" ht="24" customHeight="1">
      <c r="A85" s="574">
        <v>30</v>
      </c>
      <c r="B85" s="574">
        <v>3</v>
      </c>
      <c r="C85" s="574"/>
      <c r="D85" s="574"/>
      <c r="E85" s="577" t="s">
        <v>61</v>
      </c>
      <c r="F85" s="574"/>
      <c r="G85" s="565" t="s">
        <v>716</v>
      </c>
      <c r="H85" s="566"/>
      <c r="I85" s="571"/>
      <c r="J85" s="453">
        <v>1954035.5</v>
      </c>
      <c r="K85" s="443" t="e">
        <f>J85-#REF!</f>
        <v>#REF!</v>
      </c>
      <c r="L85" s="571"/>
      <c r="M85" s="571"/>
    </row>
    <row r="86" spans="1:13" s="434" customFormat="1" ht="14.25">
      <c r="A86" s="575"/>
      <c r="B86" s="575"/>
      <c r="C86" s="575"/>
      <c r="D86" s="575"/>
      <c r="E86" s="578"/>
      <c r="F86" s="575"/>
      <c r="G86" s="567"/>
      <c r="H86" s="568"/>
      <c r="I86" s="572"/>
      <c r="J86" s="454"/>
      <c r="K86" s="443"/>
      <c r="L86" s="572"/>
      <c r="M86" s="572"/>
    </row>
    <row r="87" spans="1:13" s="434" customFormat="1" ht="14.25">
      <c r="A87" s="576"/>
      <c r="B87" s="576"/>
      <c r="C87" s="576"/>
      <c r="D87" s="576"/>
      <c r="E87" s="579"/>
      <c r="F87" s="576"/>
      <c r="G87" s="569"/>
      <c r="H87" s="570"/>
      <c r="I87" s="573"/>
      <c r="J87" s="454"/>
      <c r="K87" s="443"/>
      <c r="L87" s="573"/>
      <c r="M87" s="573"/>
    </row>
    <row r="88" spans="1:13" ht="156">
      <c r="A88" s="436" t="s">
        <v>110</v>
      </c>
      <c r="B88" s="436" t="s">
        <v>504</v>
      </c>
      <c r="C88" s="436" t="s">
        <v>7</v>
      </c>
      <c r="D88" s="455"/>
      <c r="E88" s="438" t="s">
        <v>312</v>
      </c>
      <c r="F88" s="485"/>
      <c r="G88" s="558" t="s">
        <v>716</v>
      </c>
      <c r="H88" s="558"/>
      <c r="I88" s="485" t="s">
        <v>844</v>
      </c>
      <c r="L88" s="486" t="s">
        <v>845</v>
      </c>
      <c r="M88" s="485"/>
    </row>
    <row r="89" spans="1:13" ht="96">
      <c r="A89" s="436" t="s">
        <v>110</v>
      </c>
      <c r="B89" s="436" t="s">
        <v>504</v>
      </c>
      <c r="C89" s="436" t="s">
        <v>7</v>
      </c>
      <c r="D89" s="437" t="s">
        <v>7</v>
      </c>
      <c r="E89" s="438" t="s">
        <v>313</v>
      </c>
      <c r="F89" s="486" t="s">
        <v>846</v>
      </c>
      <c r="G89" s="558" t="s">
        <v>716</v>
      </c>
      <c r="H89" s="558"/>
      <c r="I89" s="485" t="s">
        <v>847</v>
      </c>
      <c r="L89" s="485" t="s">
        <v>848</v>
      </c>
      <c r="M89" s="485"/>
    </row>
    <row r="90" spans="1:13" ht="132">
      <c r="A90" s="436" t="s">
        <v>110</v>
      </c>
      <c r="B90" s="436" t="s">
        <v>504</v>
      </c>
      <c r="C90" s="436" t="s">
        <v>8</v>
      </c>
      <c r="D90" s="437"/>
      <c r="E90" s="438" t="s">
        <v>849</v>
      </c>
      <c r="F90" s="485"/>
      <c r="G90" s="558" t="s">
        <v>716</v>
      </c>
      <c r="H90" s="558"/>
      <c r="I90" s="456" t="s">
        <v>850</v>
      </c>
      <c r="L90" s="456" t="s">
        <v>851</v>
      </c>
      <c r="M90" s="456"/>
    </row>
    <row r="91" spans="1:13" ht="84">
      <c r="A91" s="436" t="s">
        <v>110</v>
      </c>
      <c r="B91" s="436" t="s">
        <v>504</v>
      </c>
      <c r="C91" s="436" t="s">
        <v>8</v>
      </c>
      <c r="D91" s="437" t="s">
        <v>7</v>
      </c>
      <c r="E91" s="438" t="s">
        <v>313</v>
      </c>
      <c r="F91" s="438" t="s">
        <v>852</v>
      </c>
      <c r="G91" s="558" t="s">
        <v>716</v>
      </c>
      <c r="H91" s="558"/>
      <c r="I91" s="485" t="s">
        <v>853</v>
      </c>
      <c r="L91" s="485" t="s">
        <v>854</v>
      </c>
      <c r="M91" s="485"/>
    </row>
    <row r="92" spans="1:13" ht="180">
      <c r="A92" s="436" t="s">
        <v>110</v>
      </c>
      <c r="B92" s="436" t="s">
        <v>504</v>
      </c>
      <c r="C92" s="436" t="s">
        <v>9</v>
      </c>
      <c r="D92" s="437"/>
      <c r="E92" s="438" t="s">
        <v>319</v>
      </c>
      <c r="F92" s="485"/>
      <c r="G92" s="558" t="s">
        <v>716</v>
      </c>
      <c r="H92" s="558"/>
      <c r="I92" s="456" t="s">
        <v>855</v>
      </c>
      <c r="L92" s="456" t="s">
        <v>946</v>
      </c>
      <c r="M92" s="456"/>
    </row>
    <row r="93" spans="1:13" ht="240">
      <c r="A93" s="436" t="s">
        <v>110</v>
      </c>
      <c r="B93" s="436" t="s">
        <v>504</v>
      </c>
      <c r="C93" s="436" t="s">
        <v>9</v>
      </c>
      <c r="D93" s="437" t="s">
        <v>7</v>
      </c>
      <c r="E93" s="438" t="s">
        <v>313</v>
      </c>
      <c r="F93" s="438" t="s">
        <v>856</v>
      </c>
      <c r="G93" s="558" t="s">
        <v>716</v>
      </c>
      <c r="H93" s="558"/>
      <c r="I93" s="485" t="s">
        <v>857</v>
      </c>
      <c r="L93" s="485" t="s">
        <v>858</v>
      </c>
      <c r="M93" s="485"/>
    </row>
    <row r="94" spans="1:13" ht="36">
      <c r="A94" s="436" t="s">
        <v>110</v>
      </c>
      <c r="B94" s="436" t="s">
        <v>504</v>
      </c>
      <c r="C94" s="436" t="s">
        <v>33</v>
      </c>
      <c r="D94" s="437"/>
      <c r="E94" s="438" t="s">
        <v>323</v>
      </c>
      <c r="F94" s="485"/>
      <c r="G94" s="558" t="s">
        <v>716</v>
      </c>
      <c r="H94" s="558"/>
      <c r="I94" s="485"/>
      <c r="L94" s="485"/>
      <c r="M94" s="485"/>
    </row>
    <row r="95" spans="1:13" ht="96">
      <c r="A95" s="436" t="s">
        <v>110</v>
      </c>
      <c r="B95" s="436" t="s">
        <v>504</v>
      </c>
      <c r="C95" s="436" t="s">
        <v>33</v>
      </c>
      <c r="D95" s="437" t="s">
        <v>8</v>
      </c>
      <c r="E95" s="438" t="s">
        <v>79</v>
      </c>
      <c r="F95" s="485" t="s">
        <v>859</v>
      </c>
      <c r="G95" s="558" t="s">
        <v>716</v>
      </c>
      <c r="H95" s="558"/>
      <c r="I95" s="457" t="s">
        <v>860</v>
      </c>
      <c r="L95" s="458" t="s">
        <v>861</v>
      </c>
      <c r="M95" s="457"/>
    </row>
    <row r="96" spans="1:13" ht="180">
      <c r="A96" s="436" t="s">
        <v>110</v>
      </c>
      <c r="B96" s="436" t="s">
        <v>504</v>
      </c>
      <c r="C96" s="436" t="s">
        <v>25</v>
      </c>
      <c r="D96" s="437"/>
      <c r="E96" s="438" t="s">
        <v>327</v>
      </c>
      <c r="G96" s="558" t="s">
        <v>716</v>
      </c>
      <c r="H96" s="558"/>
      <c r="I96" s="457" t="s">
        <v>862</v>
      </c>
      <c r="L96" s="457" t="s">
        <v>863</v>
      </c>
      <c r="M96" s="457"/>
    </row>
    <row r="97" spans="1:13" ht="84">
      <c r="A97" s="436" t="s">
        <v>110</v>
      </c>
      <c r="B97" s="436" t="s">
        <v>504</v>
      </c>
      <c r="C97" s="436" t="s">
        <v>25</v>
      </c>
      <c r="D97" s="437" t="s">
        <v>7</v>
      </c>
      <c r="E97" s="438" t="s">
        <v>329</v>
      </c>
      <c r="F97" s="485" t="s">
        <v>864</v>
      </c>
      <c r="G97" s="558" t="s">
        <v>716</v>
      </c>
      <c r="H97" s="558"/>
      <c r="I97" s="486" t="s">
        <v>865</v>
      </c>
      <c r="L97" s="486" t="s">
        <v>865</v>
      </c>
      <c r="M97" s="486"/>
    </row>
    <row r="98" spans="1:13" ht="360">
      <c r="A98" s="436" t="s">
        <v>110</v>
      </c>
      <c r="B98" s="436" t="s">
        <v>504</v>
      </c>
      <c r="C98" s="436" t="s">
        <v>25</v>
      </c>
      <c r="D98" s="437" t="s">
        <v>8</v>
      </c>
      <c r="E98" s="438" t="s">
        <v>330</v>
      </c>
      <c r="F98" s="485" t="s">
        <v>866</v>
      </c>
      <c r="G98" s="558" t="s">
        <v>716</v>
      </c>
      <c r="H98" s="558"/>
      <c r="I98" s="486" t="s">
        <v>867</v>
      </c>
      <c r="L98" s="486" t="s">
        <v>868</v>
      </c>
      <c r="M98" s="486"/>
    </row>
    <row r="99" spans="1:13" ht="72">
      <c r="A99" s="436" t="s">
        <v>110</v>
      </c>
      <c r="B99" s="436" t="s">
        <v>504</v>
      </c>
      <c r="C99" s="436" t="s">
        <v>6</v>
      </c>
      <c r="D99" s="436"/>
      <c r="E99" s="438" t="s">
        <v>333</v>
      </c>
      <c r="F99" s="485"/>
      <c r="G99" s="558" t="s">
        <v>716</v>
      </c>
      <c r="H99" s="558"/>
      <c r="I99" s="486" t="s">
        <v>869</v>
      </c>
      <c r="L99" s="486" t="s">
        <v>869</v>
      </c>
      <c r="M99" s="486"/>
    </row>
    <row r="100" spans="1:13" ht="144">
      <c r="A100" s="436" t="s">
        <v>110</v>
      </c>
      <c r="B100" s="436" t="s">
        <v>504</v>
      </c>
      <c r="C100" s="436" t="s">
        <v>6</v>
      </c>
      <c r="D100" s="436" t="s">
        <v>7</v>
      </c>
      <c r="E100" s="438" t="s">
        <v>870</v>
      </c>
      <c r="F100" s="485" t="s">
        <v>871</v>
      </c>
      <c r="G100" s="558" t="s">
        <v>716</v>
      </c>
      <c r="H100" s="558"/>
      <c r="I100" s="486" t="s">
        <v>872</v>
      </c>
      <c r="L100" s="486" t="s">
        <v>873</v>
      </c>
      <c r="M100" s="486"/>
    </row>
    <row r="101" spans="1:13" s="462" customFormat="1" ht="60" customHeight="1">
      <c r="A101" s="459"/>
      <c r="B101" s="459"/>
      <c r="C101" s="459"/>
      <c r="D101" s="459"/>
      <c r="E101" s="450" t="s">
        <v>102</v>
      </c>
      <c r="F101" s="489"/>
      <c r="G101" s="557" t="s">
        <v>716</v>
      </c>
      <c r="H101" s="557"/>
      <c r="I101" s="451" t="s">
        <v>874</v>
      </c>
      <c r="J101" s="489"/>
      <c r="K101" s="460"/>
      <c r="L101" s="451" t="s">
        <v>875</v>
      </c>
      <c r="M101" s="461"/>
    </row>
    <row r="102" spans="1:13" s="462" customFormat="1" ht="60" customHeight="1">
      <c r="A102" s="459"/>
      <c r="B102" s="459"/>
      <c r="C102" s="459"/>
      <c r="D102" s="459"/>
      <c r="E102" s="450" t="s">
        <v>876</v>
      </c>
      <c r="F102" s="489"/>
      <c r="G102" s="563" t="s">
        <v>716</v>
      </c>
      <c r="H102" s="564"/>
      <c r="I102" s="451" t="s">
        <v>877</v>
      </c>
      <c r="J102" s="489"/>
      <c r="K102" s="460"/>
      <c r="L102" s="451" t="s">
        <v>878</v>
      </c>
      <c r="M102" s="461"/>
    </row>
    <row r="103" spans="1:13" s="462" customFormat="1" ht="129.75" customHeight="1">
      <c r="A103" s="459"/>
      <c r="B103" s="459"/>
      <c r="C103" s="459"/>
      <c r="D103" s="459"/>
      <c r="E103" s="450" t="s">
        <v>879</v>
      </c>
      <c r="F103" s="489"/>
      <c r="G103" s="557" t="s">
        <v>716</v>
      </c>
      <c r="H103" s="557"/>
      <c r="I103" s="451" t="s">
        <v>880</v>
      </c>
      <c r="J103" s="489"/>
      <c r="K103" s="460"/>
      <c r="L103" s="451" t="s">
        <v>881</v>
      </c>
      <c r="M103" s="461"/>
    </row>
    <row r="104" spans="1:13" s="462" customFormat="1" ht="121.5" customHeight="1">
      <c r="A104" s="459"/>
      <c r="B104" s="459"/>
      <c r="C104" s="459"/>
      <c r="D104" s="459"/>
      <c r="E104" s="450" t="s">
        <v>882</v>
      </c>
      <c r="F104" s="489"/>
      <c r="G104" s="557" t="s">
        <v>716</v>
      </c>
      <c r="H104" s="557"/>
      <c r="I104" s="451" t="s">
        <v>883</v>
      </c>
      <c r="J104" s="489"/>
      <c r="K104" s="460"/>
      <c r="L104" s="463" t="s">
        <v>884</v>
      </c>
      <c r="M104" s="464" t="s">
        <v>885</v>
      </c>
    </row>
    <row r="105" spans="1:13" s="462" customFormat="1" ht="96.75" customHeight="1">
      <c r="A105" s="459"/>
      <c r="B105" s="459"/>
      <c r="C105" s="459"/>
      <c r="D105" s="459"/>
      <c r="E105" s="450" t="s">
        <v>886</v>
      </c>
      <c r="F105" s="489"/>
      <c r="G105" s="557" t="s">
        <v>716</v>
      </c>
      <c r="H105" s="557"/>
      <c r="I105" s="451" t="s">
        <v>887</v>
      </c>
      <c r="J105" s="489"/>
      <c r="K105" s="460"/>
      <c r="L105" s="451" t="s">
        <v>888</v>
      </c>
      <c r="M105" s="461"/>
    </row>
    <row r="106" spans="1:13" s="462" customFormat="1" ht="204">
      <c r="A106" s="459"/>
      <c r="B106" s="459"/>
      <c r="C106" s="459"/>
      <c r="D106" s="459"/>
      <c r="E106" s="450" t="s">
        <v>889</v>
      </c>
      <c r="F106" s="489"/>
      <c r="G106" s="557" t="s">
        <v>716</v>
      </c>
      <c r="H106" s="557"/>
      <c r="I106" s="451" t="s">
        <v>890</v>
      </c>
      <c r="J106" s="489"/>
      <c r="K106" s="460"/>
      <c r="L106" s="451" t="s">
        <v>891</v>
      </c>
      <c r="M106" s="461"/>
    </row>
    <row r="107" spans="1:13" s="462" customFormat="1" ht="72">
      <c r="A107" s="459"/>
      <c r="B107" s="459"/>
      <c r="C107" s="459"/>
      <c r="D107" s="459"/>
      <c r="E107" s="450" t="s">
        <v>892</v>
      </c>
      <c r="F107" s="489"/>
      <c r="G107" s="557" t="s">
        <v>716</v>
      </c>
      <c r="H107" s="557"/>
      <c r="I107" s="451" t="s">
        <v>893</v>
      </c>
      <c r="J107" s="489"/>
      <c r="K107" s="460"/>
      <c r="L107" s="451" t="s">
        <v>894</v>
      </c>
      <c r="M107" s="461"/>
    </row>
    <row r="108" spans="1:13" s="462" customFormat="1" ht="24">
      <c r="A108" s="459"/>
      <c r="B108" s="459"/>
      <c r="C108" s="459"/>
      <c r="D108" s="459"/>
      <c r="E108" s="450" t="s">
        <v>895</v>
      </c>
      <c r="F108" s="489"/>
      <c r="G108" s="557" t="s">
        <v>716</v>
      </c>
      <c r="H108" s="557"/>
      <c r="I108" s="451" t="s">
        <v>896</v>
      </c>
      <c r="J108" s="489"/>
      <c r="K108" s="460"/>
      <c r="L108" s="451" t="s">
        <v>897</v>
      </c>
      <c r="M108" s="461"/>
    </row>
    <row r="109" spans="1:13" s="462" customFormat="1" ht="48">
      <c r="A109" s="459"/>
      <c r="B109" s="459"/>
      <c r="C109" s="459"/>
      <c r="D109" s="459"/>
      <c r="E109" s="450" t="s">
        <v>898</v>
      </c>
      <c r="F109" s="489"/>
      <c r="G109" s="557" t="s">
        <v>716</v>
      </c>
      <c r="H109" s="557"/>
      <c r="I109" s="451" t="s">
        <v>899</v>
      </c>
      <c r="J109" s="489"/>
      <c r="K109" s="460"/>
      <c r="L109" s="451" t="s">
        <v>900</v>
      </c>
      <c r="M109" s="461"/>
    </row>
    <row r="110" spans="1:13" ht="60">
      <c r="A110" s="436" t="s">
        <v>110</v>
      </c>
      <c r="B110" s="436" t="s">
        <v>504</v>
      </c>
      <c r="C110" s="436" t="s">
        <v>35</v>
      </c>
      <c r="D110" s="436"/>
      <c r="E110" s="438" t="s">
        <v>339</v>
      </c>
      <c r="F110" s="485"/>
      <c r="G110" s="558" t="s">
        <v>716</v>
      </c>
      <c r="H110" s="558"/>
      <c r="I110" s="465"/>
      <c r="L110" s="465"/>
      <c r="M110" s="465"/>
    </row>
    <row r="111" spans="1:13" ht="216">
      <c r="A111" s="436" t="s">
        <v>110</v>
      </c>
      <c r="B111" s="436" t="s">
        <v>504</v>
      </c>
      <c r="C111" s="436" t="s">
        <v>35</v>
      </c>
      <c r="D111" s="436" t="s">
        <v>7</v>
      </c>
      <c r="E111" s="438" t="s">
        <v>340</v>
      </c>
      <c r="F111" s="485" t="s">
        <v>901</v>
      </c>
      <c r="G111" s="545" t="s">
        <v>716</v>
      </c>
      <c r="H111" s="546"/>
      <c r="I111" s="486" t="s">
        <v>902</v>
      </c>
      <c r="L111" s="1" t="s">
        <v>903</v>
      </c>
      <c r="M111" s="486"/>
    </row>
    <row r="112" spans="1:13" ht="36">
      <c r="A112" s="436" t="s">
        <v>110</v>
      </c>
      <c r="B112" s="436" t="s">
        <v>504</v>
      </c>
      <c r="C112" s="436" t="s">
        <v>51</v>
      </c>
      <c r="D112" s="436"/>
      <c r="E112" s="438" t="s">
        <v>341</v>
      </c>
      <c r="F112" s="485"/>
      <c r="G112" s="545" t="s">
        <v>716</v>
      </c>
      <c r="H112" s="546"/>
      <c r="I112" s="465"/>
      <c r="L112" s="465"/>
      <c r="M112" s="465"/>
    </row>
    <row r="113" spans="1:13" ht="56.25" customHeight="1">
      <c r="A113" s="559" t="s">
        <v>110</v>
      </c>
      <c r="B113" s="559" t="s">
        <v>504</v>
      </c>
      <c r="C113" s="559" t="s">
        <v>51</v>
      </c>
      <c r="D113" s="559" t="s">
        <v>7</v>
      </c>
      <c r="E113" s="561" t="s">
        <v>342</v>
      </c>
      <c r="F113" s="549" t="s">
        <v>904</v>
      </c>
      <c r="G113" s="551" t="s">
        <v>716</v>
      </c>
      <c r="H113" s="552"/>
      <c r="I113" s="555" t="s">
        <v>905</v>
      </c>
      <c r="L113" s="555" t="s">
        <v>906</v>
      </c>
      <c r="M113" s="555"/>
    </row>
    <row r="114" spans="1:13" ht="67.5" customHeight="1">
      <c r="A114" s="560"/>
      <c r="B114" s="560"/>
      <c r="C114" s="560"/>
      <c r="D114" s="560"/>
      <c r="E114" s="562"/>
      <c r="F114" s="550"/>
      <c r="G114" s="553"/>
      <c r="H114" s="554"/>
      <c r="I114" s="556"/>
      <c r="L114" s="556"/>
      <c r="M114" s="556"/>
    </row>
    <row r="115" spans="1:13" ht="168">
      <c r="A115" s="436" t="s">
        <v>110</v>
      </c>
      <c r="B115" s="436" t="s">
        <v>504</v>
      </c>
      <c r="C115" s="436" t="s">
        <v>68</v>
      </c>
      <c r="D115" s="437"/>
      <c r="E115" s="438" t="s">
        <v>343</v>
      </c>
      <c r="F115" s="485" t="s">
        <v>907</v>
      </c>
      <c r="G115" s="545" t="s">
        <v>716</v>
      </c>
      <c r="H115" s="546"/>
      <c r="I115" s="486" t="s">
        <v>908</v>
      </c>
      <c r="L115" s="492" t="s">
        <v>959</v>
      </c>
      <c r="M115" s="486"/>
    </row>
    <row r="116" spans="1:13" ht="312">
      <c r="A116" s="436" t="s">
        <v>110</v>
      </c>
      <c r="B116" s="436" t="s">
        <v>504</v>
      </c>
      <c r="C116" s="436" t="s">
        <v>68</v>
      </c>
      <c r="D116" s="437" t="s">
        <v>7</v>
      </c>
      <c r="E116" s="438" t="s">
        <v>344</v>
      </c>
      <c r="F116" s="485" t="s">
        <v>909</v>
      </c>
      <c r="G116" s="545" t="s">
        <v>716</v>
      </c>
      <c r="H116" s="546"/>
      <c r="I116" s="486" t="s">
        <v>910</v>
      </c>
      <c r="L116" s="492" t="s">
        <v>960</v>
      </c>
      <c r="M116" s="486"/>
    </row>
    <row r="117" spans="1:13" s="434" customFormat="1" ht="24">
      <c r="A117" s="466" t="s">
        <v>110</v>
      </c>
      <c r="B117" s="466" t="s">
        <v>508</v>
      </c>
      <c r="C117" s="466"/>
      <c r="D117" s="465"/>
      <c r="E117" s="467" t="s">
        <v>63</v>
      </c>
      <c r="F117" s="468"/>
      <c r="G117" s="547"/>
      <c r="H117" s="548"/>
      <c r="I117" s="441"/>
      <c r="J117" s="453">
        <v>331026.7</v>
      </c>
      <c r="K117" s="443" t="e">
        <f>J117-#REF!</f>
        <v>#REF!</v>
      </c>
      <c r="L117" s="441"/>
      <c r="M117" s="441"/>
    </row>
    <row r="118" spans="1:13" ht="96">
      <c r="A118" s="436" t="s">
        <v>110</v>
      </c>
      <c r="B118" s="436" t="s">
        <v>508</v>
      </c>
      <c r="C118" s="436" t="s">
        <v>7</v>
      </c>
      <c r="D118" s="444"/>
      <c r="E118" s="438" t="s">
        <v>349</v>
      </c>
      <c r="F118" s="485"/>
      <c r="G118" s="545" t="s">
        <v>716</v>
      </c>
      <c r="H118" s="546"/>
      <c r="I118" s="486" t="s">
        <v>911</v>
      </c>
      <c r="L118" s="493" t="s">
        <v>962</v>
      </c>
      <c r="M118" s="486"/>
    </row>
    <row r="119" spans="1:13" ht="120">
      <c r="A119" s="436" t="s">
        <v>110</v>
      </c>
      <c r="B119" s="436" t="s">
        <v>508</v>
      </c>
      <c r="C119" s="436" t="s">
        <v>7</v>
      </c>
      <c r="D119" s="437" t="s">
        <v>7</v>
      </c>
      <c r="E119" s="438" t="s">
        <v>912</v>
      </c>
      <c r="F119" s="485" t="s">
        <v>913</v>
      </c>
      <c r="G119" s="545" t="s">
        <v>716</v>
      </c>
      <c r="H119" s="546"/>
      <c r="I119" s="486" t="s">
        <v>914</v>
      </c>
      <c r="L119" s="469" t="s">
        <v>915</v>
      </c>
      <c r="M119" s="486"/>
    </row>
    <row r="120" spans="1:13" ht="96">
      <c r="A120" s="436" t="s">
        <v>110</v>
      </c>
      <c r="B120" s="436" t="s">
        <v>508</v>
      </c>
      <c r="C120" s="436" t="s">
        <v>8</v>
      </c>
      <c r="D120" s="437"/>
      <c r="E120" s="438" t="s">
        <v>352</v>
      </c>
      <c r="F120" s="485"/>
      <c r="G120" s="545" t="s">
        <v>716</v>
      </c>
      <c r="H120" s="546"/>
      <c r="I120" s="486" t="s">
        <v>916</v>
      </c>
      <c r="L120" s="492" t="s">
        <v>961</v>
      </c>
      <c r="M120" s="486"/>
    </row>
    <row r="121" spans="1:13" ht="127.5">
      <c r="A121" s="436" t="s">
        <v>110</v>
      </c>
      <c r="B121" s="436" t="s">
        <v>508</v>
      </c>
      <c r="C121" s="436" t="s">
        <v>8</v>
      </c>
      <c r="D121" s="437" t="s">
        <v>7</v>
      </c>
      <c r="E121" s="438" t="s">
        <v>353</v>
      </c>
      <c r="F121" s="438" t="s">
        <v>913</v>
      </c>
      <c r="G121" s="545" t="s">
        <v>716</v>
      </c>
      <c r="H121" s="546"/>
      <c r="I121" s="438" t="s">
        <v>917</v>
      </c>
      <c r="L121" s="470" t="s">
        <v>918</v>
      </c>
      <c r="M121" s="438"/>
    </row>
    <row r="122" spans="1:13" ht="96">
      <c r="A122" s="436" t="s">
        <v>110</v>
      </c>
      <c r="B122" s="436" t="s">
        <v>508</v>
      </c>
      <c r="C122" s="436" t="s">
        <v>9</v>
      </c>
      <c r="D122" s="444"/>
      <c r="E122" s="438" t="s">
        <v>354</v>
      </c>
      <c r="F122" s="438"/>
      <c r="G122" s="545" t="s">
        <v>716</v>
      </c>
      <c r="H122" s="546"/>
      <c r="I122" s="486" t="s">
        <v>916</v>
      </c>
      <c r="L122" s="492" t="s">
        <v>961</v>
      </c>
      <c r="M122" s="486"/>
    </row>
    <row r="123" spans="1:13" ht="132">
      <c r="A123" s="436" t="s">
        <v>110</v>
      </c>
      <c r="B123" s="436" t="s">
        <v>508</v>
      </c>
      <c r="C123" s="436" t="s">
        <v>9</v>
      </c>
      <c r="D123" s="437" t="s">
        <v>7</v>
      </c>
      <c r="E123" s="438" t="s">
        <v>355</v>
      </c>
      <c r="F123" s="438" t="s">
        <v>919</v>
      </c>
      <c r="G123" s="545" t="s">
        <v>716</v>
      </c>
      <c r="H123" s="546"/>
      <c r="I123" s="438" t="s">
        <v>920</v>
      </c>
      <c r="L123" s="438" t="s">
        <v>921</v>
      </c>
      <c r="M123" s="438"/>
    </row>
    <row r="124" spans="1:13" ht="24">
      <c r="A124" s="436" t="s">
        <v>110</v>
      </c>
      <c r="B124" s="436" t="s">
        <v>508</v>
      </c>
      <c r="C124" s="436" t="s">
        <v>10</v>
      </c>
      <c r="D124" s="437"/>
      <c r="E124" s="438" t="s">
        <v>65</v>
      </c>
      <c r="F124" s="438"/>
      <c r="G124" s="545" t="s">
        <v>716</v>
      </c>
      <c r="H124" s="546"/>
      <c r="I124" s="438"/>
      <c r="L124" s="438"/>
      <c r="M124" s="438"/>
    </row>
    <row r="125" spans="1:13" ht="120">
      <c r="A125" s="436" t="s">
        <v>110</v>
      </c>
      <c r="B125" s="436" t="s">
        <v>508</v>
      </c>
      <c r="C125" s="436" t="s">
        <v>10</v>
      </c>
      <c r="D125" s="437" t="s">
        <v>7</v>
      </c>
      <c r="E125" s="438" t="s">
        <v>322</v>
      </c>
      <c r="F125" s="438" t="s">
        <v>922</v>
      </c>
      <c r="G125" s="545" t="s">
        <v>716</v>
      </c>
      <c r="H125" s="546"/>
      <c r="I125" s="438" t="s">
        <v>923</v>
      </c>
      <c r="L125" s="471" t="s">
        <v>924</v>
      </c>
      <c r="M125" s="438"/>
    </row>
    <row r="126" spans="1:13" ht="120">
      <c r="A126" s="436" t="s">
        <v>110</v>
      </c>
      <c r="B126" s="436" t="s">
        <v>508</v>
      </c>
      <c r="C126" s="436" t="s">
        <v>10</v>
      </c>
      <c r="D126" s="437" t="s">
        <v>8</v>
      </c>
      <c r="E126" s="438" t="s">
        <v>294</v>
      </c>
      <c r="F126" s="438" t="s">
        <v>922</v>
      </c>
      <c r="G126" s="545" t="s">
        <v>716</v>
      </c>
      <c r="H126" s="546"/>
      <c r="I126" s="438" t="s">
        <v>925</v>
      </c>
      <c r="L126" s="471" t="s">
        <v>926</v>
      </c>
      <c r="M126" s="438"/>
    </row>
    <row r="127" spans="1:13" ht="72">
      <c r="A127" s="436" t="s">
        <v>110</v>
      </c>
      <c r="B127" s="436" t="s">
        <v>508</v>
      </c>
      <c r="C127" s="436" t="s">
        <v>33</v>
      </c>
      <c r="D127" s="437"/>
      <c r="E127" s="438" t="s">
        <v>363</v>
      </c>
      <c r="F127" s="438"/>
      <c r="G127" s="545" t="s">
        <v>716</v>
      </c>
      <c r="H127" s="546"/>
      <c r="I127" s="438"/>
      <c r="L127" s="438"/>
      <c r="M127" s="438"/>
    </row>
    <row r="128" spans="1:13" ht="36">
      <c r="A128" s="436" t="s">
        <v>110</v>
      </c>
      <c r="B128" s="436" t="s">
        <v>508</v>
      </c>
      <c r="C128" s="436" t="s">
        <v>33</v>
      </c>
      <c r="D128" s="437" t="s">
        <v>7</v>
      </c>
      <c r="E128" s="438" t="s">
        <v>364</v>
      </c>
      <c r="F128" s="438"/>
      <c r="G128" s="545" t="s">
        <v>716</v>
      </c>
      <c r="H128" s="546"/>
      <c r="I128" s="438" t="s">
        <v>927</v>
      </c>
      <c r="L128" s="438" t="s">
        <v>927</v>
      </c>
      <c r="M128" s="438"/>
    </row>
    <row r="129" spans="1:13" ht="108">
      <c r="A129" s="8" t="s">
        <v>110</v>
      </c>
      <c r="B129" s="8" t="s">
        <v>508</v>
      </c>
      <c r="C129" s="8" t="s">
        <v>25</v>
      </c>
      <c r="D129" s="8"/>
      <c r="E129" s="438" t="s">
        <v>928</v>
      </c>
      <c r="F129" s="438" t="s">
        <v>929</v>
      </c>
      <c r="G129" s="545" t="s">
        <v>716</v>
      </c>
      <c r="H129" s="546"/>
      <c r="I129" s="438" t="s">
        <v>930</v>
      </c>
      <c r="L129" s="438" t="s">
        <v>931</v>
      </c>
      <c r="M129" s="438"/>
    </row>
    <row r="130" spans="1:13" ht="120">
      <c r="A130" s="8" t="s">
        <v>110</v>
      </c>
      <c r="B130" s="8" t="s">
        <v>508</v>
      </c>
      <c r="C130" s="8" t="s">
        <v>6</v>
      </c>
      <c r="D130" s="8"/>
      <c r="E130" s="438" t="s">
        <v>932</v>
      </c>
      <c r="F130" s="438" t="s">
        <v>913</v>
      </c>
      <c r="G130" s="545" t="s">
        <v>716</v>
      </c>
      <c r="H130" s="546"/>
      <c r="I130" s="438" t="s">
        <v>933</v>
      </c>
      <c r="L130" s="438" t="s">
        <v>934</v>
      </c>
      <c r="M130" s="438"/>
    </row>
    <row r="131" spans="1:13" ht="96">
      <c r="A131" s="8" t="s">
        <v>110</v>
      </c>
      <c r="B131" s="8" t="s">
        <v>508</v>
      </c>
      <c r="C131" s="8" t="s">
        <v>34</v>
      </c>
      <c r="D131" s="8"/>
      <c r="E131" s="438" t="s">
        <v>935</v>
      </c>
      <c r="F131" s="438" t="s">
        <v>929</v>
      </c>
      <c r="G131" s="545" t="s">
        <v>716</v>
      </c>
      <c r="H131" s="546"/>
      <c r="I131" s="438" t="s">
        <v>936</v>
      </c>
      <c r="L131" s="438" t="s">
        <v>936</v>
      </c>
      <c r="M131" s="438"/>
    </row>
    <row r="132" spans="1:13" ht="120">
      <c r="A132" s="8" t="s">
        <v>110</v>
      </c>
      <c r="B132" s="8" t="s">
        <v>508</v>
      </c>
      <c r="C132" s="8" t="s">
        <v>35</v>
      </c>
      <c r="D132" s="8"/>
      <c r="E132" s="438" t="s">
        <v>937</v>
      </c>
      <c r="F132" s="438" t="s">
        <v>913</v>
      </c>
      <c r="G132" s="545" t="s">
        <v>716</v>
      </c>
      <c r="H132" s="546"/>
      <c r="I132" s="438" t="s">
        <v>938</v>
      </c>
      <c r="L132" s="438" t="s">
        <v>939</v>
      </c>
      <c r="M132" s="438"/>
    </row>
    <row r="133" spans="1:13" ht="96">
      <c r="A133" s="8" t="s">
        <v>110</v>
      </c>
      <c r="B133" s="8" t="s">
        <v>508</v>
      </c>
      <c r="C133" s="8" t="s">
        <v>51</v>
      </c>
      <c r="D133" s="8"/>
      <c r="E133" s="438" t="s">
        <v>940</v>
      </c>
      <c r="F133" s="438" t="s">
        <v>929</v>
      </c>
      <c r="G133" s="545" t="s">
        <v>716</v>
      </c>
      <c r="H133" s="546"/>
      <c r="I133" s="438" t="s">
        <v>941</v>
      </c>
      <c r="L133" s="438" t="s">
        <v>942</v>
      </c>
      <c r="M133" s="438"/>
    </row>
    <row r="134" spans="1:13" ht="24" customHeight="1">
      <c r="A134" s="484"/>
      <c r="B134" s="472"/>
      <c r="C134" s="472"/>
      <c r="D134" s="473"/>
      <c r="E134" s="474"/>
      <c r="F134" s="475"/>
      <c r="G134" s="475"/>
      <c r="H134" s="475"/>
      <c r="I134" s="476"/>
      <c r="L134" s="476"/>
      <c r="M134" s="476"/>
    </row>
    <row r="135" spans="1:13">
      <c r="A135" s="521" t="s">
        <v>943</v>
      </c>
      <c r="B135" s="521"/>
      <c r="C135" s="521"/>
      <c r="D135" s="521"/>
      <c r="E135" s="521"/>
      <c r="F135" s="521"/>
      <c r="G135" s="521"/>
      <c r="H135" s="521"/>
      <c r="I135" s="521"/>
    </row>
    <row r="136" spans="1:13">
      <c r="A136" s="484"/>
      <c r="B136" s="472"/>
      <c r="C136" s="472"/>
      <c r="D136" s="473"/>
      <c r="E136" s="474"/>
      <c r="F136" s="475"/>
      <c r="G136" s="475"/>
      <c r="H136" s="475"/>
      <c r="I136" s="476"/>
      <c r="L136" s="476"/>
      <c r="M136" s="476"/>
    </row>
    <row r="137" spans="1:13">
      <c r="A137" s="484"/>
      <c r="B137" s="472"/>
      <c r="C137" s="472"/>
      <c r="D137" s="473"/>
      <c r="E137" s="474"/>
      <c r="F137" s="475"/>
      <c r="G137" s="475"/>
      <c r="H137" s="475"/>
      <c r="I137" s="476"/>
      <c r="L137" s="476"/>
      <c r="M137" s="476"/>
    </row>
  </sheetData>
  <mergeCells count="170">
    <mergeCell ref="A9:I9"/>
    <mergeCell ref="A10:I10"/>
    <mergeCell ref="A12:I12"/>
    <mergeCell ref="A13:I13"/>
    <mergeCell ref="A14:D14"/>
    <mergeCell ref="E14:E15"/>
    <mergeCell ref="F14:F15"/>
    <mergeCell ref="G14:G15"/>
    <mergeCell ref="H14:H15"/>
    <mergeCell ref="I14:I15"/>
    <mergeCell ref="L14:L15"/>
    <mergeCell ref="M14:M15"/>
    <mergeCell ref="A16:A19"/>
    <mergeCell ref="B16:B19"/>
    <mergeCell ref="C16:C19"/>
    <mergeCell ref="D16:D19"/>
    <mergeCell ref="E16:E19"/>
    <mergeCell ref="F16:F19"/>
    <mergeCell ref="G16:H19"/>
    <mergeCell ref="I16:I19"/>
    <mergeCell ref="L16:L19"/>
    <mergeCell ref="M16:M19"/>
    <mergeCell ref="A20:A23"/>
    <mergeCell ref="B20:B23"/>
    <mergeCell ref="C20:C23"/>
    <mergeCell ref="D20:D23"/>
    <mergeCell ref="E20:E23"/>
    <mergeCell ref="F20:F23"/>
    <mergeCell ref="G20:H23"/>
    <mergeCell ref="I20:I23"/>
    <mergeCell ref="G28:H28"/>
    <mergeCell ref="G29:H29"/>
    <mergeCell ref="G30:H30"/>
    <mergeCell ref="G31:H31"/>
    <mergeCell ref="G32:H32"/>
    <mergeCell ref="G33:H33"/>
    <mergeCell ref="L20:L23"/>
    <mergeCell ref="M20:M23"/>
    <mergeCell ref="G24:H24"/>
    <mergeCell ref="G25:H25"/>
    <mergeCell ref="G26:H26"/>
    <mergeCell ref="G27:H27"/>
    <mergeCell ref="G40:H40"/>
    <mergeCell ref="G41:H41"/>
    <mergeCell ref="G42:H42"/>
    <mergeCell ref="G43:H43"/>
    <mergeCell ref="G44:H44"/>
    <mergeCell ref="G45:H45"/>
    <mergeCell ref="G34:H34"/>
    <mergeCell ref="G35:H35"/>
    <mergeCell ref="G36:H36"/>
    <mergeCell ref="G37:H37"/>
    <mergeCell ref="G38:H38"/>
    <mergeCell ref="G39:H39"/>
    <mergeCell ref="G46:H46"/>
    <mergeCell ref="G47:H47"/>
    <mergeCell ref="G48:H48"/>
    <mergeCell ref="A49:A50"/>
    <mergeCell ref="B49:B50"/>
    <mergeCell ref="C49:C50"/>
    <mergeCell ref="D49:D50"/>
    <mergeCell ref="E49:E50"/>
    <mergeCell ref="G49:H50"/>
    <mergeCell ref="G54:H54"/>
    <mergeCell ref="G55:H55"/>
    <mergeCell ref="G56:H56"/>
    <mergeCell ref="G57:H57"/>
    <mergeCell ref="G58:H58"/>
    <mergeCell ref="G59:H59"/>
    <mergeCell ref="I49:I50"/>
    <mergeCell ref="L49:L50"/>
    <mergeCell ref="M49:M50"/>
    <mergeCell ref="G51:H51"/>
    <mergeCell ref="G52:H52"/>
    <mergeCell ref="G53:H53"/>
    <mergeCell ref="G66:H66"/>
    <mergeCell ref="A67:A68"/>
    <mergeCell ref="B67:B68"/>
    <mergeCell ref="C67:C68"/>
    <mergeCell ref="D67:D68"/>
    <mergeCell ref="E67:E68"/>
    <mergeCell ref="G67:H67"/>
    <mergeCell ref="G68:H68"/>
    <mergeCell ref="G60:H60"/>
    <mergeCell ref="G61:H61"/>
    <mergeCell ref="G62:H62"/>
    <mergeCell ref="G63:H63"/>
    <mergeCell ref="G64:H64"/>
    <mergeCell ref="G65:H65"/>
    <mergeCell ref="G75:H75"/>
    <mergeCell ref="G76:H76"/>
    <mergeCell ref="G77:H77"/>
    <mergeCell ref="G78:H78"/>
    <mergeCell ref="G79:H79"/>
    <mergeCell ref="G80:H80"/>
    <mergeCell ref="G69:H69"/>
    <mergeCell ref="G70:H70"/>
    <mergeCell ref="G71:H71"/>
    <mergeCell ref="G72:H72"/>
    <mergeCell ref="G73:H73"/>
    <mergeCell ref="G74:H74"/>
    <mergeCell ref="M85:M87"/>
    <mergeCell ref="G88:H88"/>
    <mergeCell ref="G89:H89"/>
    <mergeCell ref="G81:H81"/>
    <mergeCell ref="G82:H82"/>
    <mergeCell ref="G83:H83"/>
    <mergeCell ref="G84:H84"/>
    <mergeCell ref="A85:A87"/>
    <mergeCell ref="B85:B87"/>
    <mergeCell ref="C85:C87"/>
    <mergeCell ref="D85:D87"/>
    <mergeCell ref="E85:E87"/>
    <mergeCell ref="F85:F87"/>
    <mergeCell ref="G90:H90"/>
    <mergeCell ref="G91:H91"/>
    <mergeCell ref="G92:H92"/>
    <mergeCell ref="G93:H93"/>
    <mergeCell ref="G94:H94"/>
    <mergeCell ref="G95:H95"/>
    <mergeCell ref="G85:H87"/>
    <mergeCell ref="I85:I87"/>
    <mergeCell ref="L85:L87"/>
    <mergeCell ref="G102:H102"/>
    <mergeCell ref="G103:H103"/>
    <mergeCell ref="G104:H104"/>
    <mergeCell ref="G105:H105"/>
    <mergeCell ref="G106:H106"/>
    <mergeCell ref="G107:H107"/>
    <mergeCell ref="G96:H96"/>
    <mergeCell ref="G97:H97"/>
    <mergeCell ref="G98:H98"/>
    <mergeCell ref="G99:H99"/>
    <mergeCell ref="G100:H100"/>
    <mergeCell ref="G101:H101"/>
    <mergeCell ref="L113:L114"/>
    <mergeCell ref="M113:M114"/>
    <mergeCell ref="G115:H115"/>
    <mergeCell ref="G108:H108"/>
    <mergeCell ref="G109:H109"/>
    <mergeCell ref="G110:H110"/>
    <mergeCell ref="G111:H111"/>
    <mergeCell ref="G112:H112"/>
    <mergeCell ref="A113:A114"/>
    <mergeCell ref="B113:B114"/>
    <mergeCell ref="C113:C114"/>
    <mergeCell ref="D113:D114"/>
    <mergeCell ref="E113:E114"/>
    <mergeCell ref="G116:H116"/>
    <mergeCell ref="G117:H117"/>
    <mergeCell ref="G118:H118"/>
    <mergeCell ref="G119:H119"/>
    <mergeCell ref="G120:H120"/>
    <mergeCell ref="G121:H121"/>
    <mergeCell ref="F113:F114"/>
    <mergeCell ref="G113:H114"/>
    <mergeCell ref="I113:I114"/>
    <mergeCell ref="A135:I135"/>
    <mergeCell ref="G128:H128"/>
    <mergeCell ref="G129:H129"/>
    <mergeCell ref="G130:H130"/>
    <mergeCell ref="G131:H131"/>
    <mergeCell ref="G132:H132"/>
    <mergeCell ref="G133:H133"/>
    <mergeCell ref="G122:H122"/>
    <mergeCell ref="G123:H123"/>
    <mergeCell ref="G124:H124"/>
    <mergeCell ref="G125:H125"/>
    <mergeCell ref="G126:H126"/>
    <mergeCell ref="G127:H127"/>
  </mergeCells>
  <pageMargins left="0.27559055118110237" right="0.15748031496062992" top="0.42" bottom="0.11" header="0.17" footer="0.13"/>
  <pageSetup paperSize="9" scale="69" fitToHeight="25" orientation="landscape" horizontalDpi="180" verticalDpi="180" r:id="rId1"/>
  <headerFooter differentFirst="1">
    <oddHeader>&amp;C&amp;P</oddHeader>
  </headerFooter>
  <legacyDrawing r:id="rId2"/>
</worksheet>
</file>

<file path=xl/worksheets/sheet4.xml><?xml version="1.0" encoding="utf-8"?>
<worksheet xmlns="http://schemas.openxmlformats.org/spreadsheetml/2006/main" xmlns:r="http://schemas.openxmlformats.org/officeDocument/2006/relationships">
  <sheetPr>
    <tabColor theme="9" tint="0.39997558519241921"/>
  </sheetPr>
  <dimension ref="A1:N43"/>
  <sheetViews>
    <sheetView topLeftCell="A7" zoomScale="80" zoomScaleNormal="80" workbookViewId="0">
      <selection activeCell="J25" sqref="J25"/>
    </sheetView>
  </sheetViews>
  <sheetFormatPr defaultRowHeight="15"/>
  <cols>
    <col min="1" max="1" width="5.140625" style="273" customWidth="1"/>
    <col min="2" max="2" width="6.28515625" style="273" customWidth="1"/>
    <col min="3" max="3" width="5.5703125" style="273" customWidth="1"/>
    <col min="4" max="4" width="6.42578125" style="18" customWidth="1"/>
    <col min="5" max="5" width="38" style="18" customWidth="1"/>
    <col min="6" max="6" width="29.28515625" style="18" customWidth="1"/>
    <col min="7" max="7" width="13.5703125" style="18" customWidth="1"/>
    <col min="8" max="8" width="12.140625" style="343" customWidth="1"/>
    <col min="9" max="9" width="12.85546875" style="363" customWidth="1"/>
    <col min="10" max="10" width="17.140625" style="356" customWidth="1"/>
    <col min="11" max="11" width="17.140625" style="338" customWidth="1"/>
    <col min="12" max="12" width="17.140625" style="356" customWidth="1"/>
    <col min="13" max="13" width="10.7109375" style="349" customWidth="1"/>
    <col min="14" max="14" width="12" style="349" customWidth="1"/>
    <col min="15" max="16384" width="9.140625" style="18"/>
  </cols>
  <sheetData>
    <row r="1" spans="1:14" s="67" customFormat="1" ht="15.75">
      <c r="H1" s="339"/>
      <c r="I1" s="359"/>
      <c r="J1" s="353"/>
      <c r="K1" s="333" t="s">
        <v>584</v>
      </c>
      <c r="L1" s="353"/>
      <c r="M1" s="344"/>
      <c r="N1" s="344"/>
    </row>
    <row r="2" spans="1:14" s="67" customFormat="1" ht="15.75">
      <c r="H2" s="339"/>
      <c r="I2" s="359"/>
      <c r="J2" s="353"/>
      <c r="K2" s="333" t="s">
        <v>659</v>
      </c>
      <c r="L2" s="353"/>
      <c r="M2" s="344"/>
      <c r="N2" s="344"/>
    </row>
    <row r="3" spans="1:14" s="67" customFormat="1" ht="15.75">
      <c r="H3" s="339"/>
      <c r="I3" s="359"/>
      <c r="J3" s="353"/>
      <c r="K3" s="333" t="s">
        <v>660</v>
      </c>
      <c r="L3" s="353"/>
      <c r="M3" s="344"/>
      <c r="N3" s="344"/>
    </row>
    <row r="4" spans="1:14" s="67" customFormat="1" ht="15.75">
      <c r="H4" s="339"/>
      <c r="I4" s="359"/>
      <c r="J4" s="353"/>
      <c r="K4" s="333" t="s">
        <v>612</v>
      </c>
      <c r="L4" s="353"/>
      <c r="M4" s="344"/>
      <c r="N4" s="344"/>
    </row>
    <row r="5" spans="1:14" s="67" customFormat="1" ht="15.75">
      <c r="H5" s="339"/>
      <c r="I5" s="359"/>
      <c r="J5" s="353"/>
      <c r="K5" s="332"/>
      <c r="L5" s="353"/>
      <c r="M5" s="344"/>
      <c r="N5" s="344"/>
    </row>
    <row r="6" spans="1:14" s="67" customFormat="1" ht="15.75">
      <c r="H6" s="339"/>
      <c r="I6" s="359"/>
      <c r="J6" s="353"/>
      <c r="K6" s="332"/>
      <c r="L6" s="353"/>
      <c r="M6" s="344" t="s">
        <v>589</v>
      </c>
      <c r="N6" s="344"/>
    </row>
    <row r="7" spans="1:14" s="67" customFormat="1" ht="15.75">
      <c r="A7" s="295"/>
      <c r="H7" s="339"/>
      <c r="I7" s="359"/>
      <c r="J7" s="353"/>
      <c r="K7" s="334"/>
      <c r="L7" s="357"/>
      <c r="M7" s="345"/>
      <c r="N7" s="345"/>
    </row>
    <row r="8" spans="1:14" s="67" customFormat="1" ht="15.75">
      <c r="A8" s="620" t="s">
        <v>664</v>
      </c>
      <c r="B8" s="620"/>
      <c r="C8" s="620"/>
      <c r="D8" s="620"/>
      <c r="E8" s="620"/>
      <c r="F8" s="620"/>
      <c r="G8" s="620"/>
      <c r="H8" s="620"/>
      <c r="I8" s="620"/>
      <c r="J8" s="620"/>
      <c r="K8" s="620"/>
      <c r="L8" s="620"/>
      <c r="M8" s="620"/>
      <c r="N8" s="620"/>
    </row>
    <row r="9" spans="1:14" s="67" customFormat="1" ht="15.75">
      <c r="A9" s="620" t="s">
        <v>663</v>
      </c>
      <c r="B9" s="620"/>
      <c r="C9" s="620"/>
      <c r="D9" s="620"/>
      <c r="E9" s="620"/>
      <c r="F9" s="620"/>
      <c r="G9" s="620"/>
      <c r="H9" s="620"/>
      <c r="I9" s="620"/>
      <c r="J9" s="620"/>
      <c r="K9" s="620"/>
      <c r="L9" s="620"/>
      <c r="M9" s="620"/>
      <c r="N9" s="620"/>
    </row>
    <row r="10" spans="1:14" s="67" customFormat="1" ht="15.75">
      <c r="A10" s="620" t="s">
        <v>662</v>
      </c>
      <c r="B10" s="620"/>
      <c r="C10" s="620"/>
      <c r="D10" s="620"/>
      <c r="E10" s="620"/>
      <c r="F10" s="620"/>
      <c r="G10" s="620"/>
      <c r="H10" s="620"/>
      <c r="I10" s="620"/>
      <c r="J10" s="620"/>
      <c r="K10" s="620"/>
      <c r="L10" s="620"/>
      <c r="M10" s="620"/>
      <c r="N10" s="620"/>
    </row>
    <row r="11" spans="1:14" s="67" customFormat="1" ht="15.75">
      <c r="A11" s="620" t="s">
        <v>661</v>
      </c>
      <c r="B11" s="620"/>
      <c r="C11" s="620"/>
      <c r="D11" s="620"/>
      <c r="E11" s="620"/>
      <c r="F11" s="620"/>
      <c r="G11" s="620"/>
      <c r="H11" s="620"/>
      <c r="I11" s="620"/>
      <c r="J11" s="620"/>
      <c r="K11" s="620"/>
      <c r="L11" s="620"/>
      <c r="M11" s="620"/>
      <c r="N11" s="620"/>
    </row>
    <row r="12" spans="1:14" s="67" customFormat="1" ht="15.75">
      <c r="A12" s="620" t="s">
        <v>954</v>
      </c>
      <c r="B12" s="620"/>
      <c r="C12" s="620"/>
      <c r="D12" s="620"/>
      <c r="E12" s="620"/>
      <c r="F12" s="620"/>
      <c r="G12" s="620"/>
      <c r="H12" s="620"/>
      <c r="I12" s="620"/>
      <c r="J12" s="620"/>
      <c r="K12" s="620"/>
      <c r="L12" s="620"/>
      <c r="M12" s="620"/>
      <c r="N12" s="620"/>
    </row>
    <row r="13" spans="1:14" s="67" customFormat="1" ht="15.75">
      <c r="E13" s="297"/>
      <c r="F13" s="298"/>
      <c r="H13" s="339"/>
      <c r="I13" s="359"/>
      <c r="J13" s="353"/>
      <c r="K13" s="332"/>
      <c r="L13" s="353"/>
      <c r="M13" s="345"/>
      <c r="N13" s="345"/>
    </row>
    <row r="14" spans="1:14" s="67" customFormat="1" ht="15.75">
      <c r="A14" s="621" t="s">
        <v>590</v>
      </c>
      <c r="B14" s="621"/>
      <c r="C14" s="621"/>
      <c r="D14" s="621"/>
      <c r="E14" s="621"/>
      <c r="F14" s="621"/>
      <c r="G14" s="621"/>
      <c r="H14" s="621"/>
      <c r="I14" s="621"/>
      <c r="J14" s="353"/>
      <c r="K14" s="332"/>
      <c r="L14" s="353"/>
      <c r="M14" s="345"/>
      <c r="N14" s="345"/>
    </row>
    <row r="15" spans="1:14" s="67" customFormat="1" ht="15.75">
      <c r="A15" s="296" t="s">
        <v>582</v>
      </c>
      <c r="B15" s="296"/>
      <c r="C15" s="296"/>
      <c r="D15" s="296"/>
      <c r="E15" s="296"/>
      <c r="F15" s="296"/>
      <c r="G15" s="296"/>
      <c r="H15" s="339"/>
      <c r="I15" s="359"/>
      <c r="J15" s="353"/>
      <c r="K15" s="332"/>
      <c r="L15" s="353"/>
      <c r="M15" s="345"/>
      <c r="N15" s="345"/>
    </row>
    <row r="16" spans="1:14" s="67" customFormat="1" ht="4.5" customHeight="1">
      <c r="A16" s="67" t="s">
        <v>583</v>
      </c>
      <c r="E16" s="297"/>
      <c r="F16" s="298"/>
      <c r="H16" s="339"/>
      <c r="I16" s="359"/>
      <c r="J16" s="353"/>
      <c r="K16" s="332"/>
      <c r="L16" s="353"/>
      <c r="M16" s="345"/>
      <c r="N16" s="345"/>
    </row>
    <row r="17" spans="1:14" s="67" customFormat="1" ht="15.75">
      <c r="E17" s="297"/>
      <c r="F17" s="298"/>
      <c r="H17" s="339"/>
      <c r="I17" s="359"/>
      <c r="J17" s="353"/>
      <c r="K17" s="332"/>
      <c r="L17" s="353"/>
      <c r="M17" s="345"/>
      <c r="N17" s="345"/>
    </row>
    <row r="18" spans="1:14" s="67" customFormat="1" ht="15.75">
      <c r="A18" s="621" t="s">
        <v>950</v>
      </c>
      <c r="B18" s="621"/>
      <c r="C18" s="621"/>
      <c r="D18" s="621"/>
      <c r="E18" s="621"/>
      <c r="F18" s="621"/>
      <c r="G18" s="621"/>
      <c r="H18" s="621"/>
      <c r="I18" s="621"/>
      <c r="J18" s="353"/>
      <c r="K18" s="332"/>
      <c r="L18" s="353"/>
      <c r="M18" s="345"/>
      <c r="N18" s="345"/>
    </row>
    <row r="19" spans="1:14" s="67" customFormat="1" ht="15.75">
      <c r="A19" s="295"/>
      <c r="H19" s="339"/>
      <c r="I19" s="359"/>
      <c r="J19" s="353"/>
      <c r="K19" s="332"/>
      <c r="L19" s="353"/>
      <c r="M19" s="345"/>
      <c r="N19" s="345"/>
    </row>
    <row r="20" spans="1:14" s="277" customFormat="1" ht="43.5" customHeight="1">
      <c r="A20" s="616" t="s">
        <v>3</v>
      </c>
      <c r="B20" s="617"/>
      <c r="C20" s="617"/>
      <c r="D20" s="618"/>
      <c r="E20" s="590" t="s">
        <v>401</v>
      </c>
      <c r="F20" s="590" t="s">
        <v>402</v>
      </c>
      <c r="G20" s="590" t="s">
        <v>403</v>
      </c>
      <c r="H20" s="622" t="s">
        <v>432</v>
      </c>
      <c r="I20" s="623"/>
      <c r="J20" s="624" t="s">
        <v>404</v>
      </c>
      <c r="K20" s="624"/>
      <c r="L20" s="624"/>
      <c r="M20" s="619" t="s">
        <v>605</v>
      </c>
      <c r="N20" s="619"/>
    </row>
    <row r="21" spans="1:14" s="277" customFormat="1" ht="78" customHeight="1">
      <c r="A21" s="321" t="s">
        <v>4</v>
      </c>
      <c r="B21" s="321" t="s">
        <v>5</v>
      </c>
      <c r="C21" s="321" t="s">
        <v>12</v>
      </c>
      <c r="D21" s="271" t="s">
        <v>13</v>
      </c>
      <c r="E21" s="591"/>
      <c r="F21" s="591"/>
      <c r="G21" s="591"/>
      <c r="H21" s="340" t="s">
        <v>658</v>
      </c>
      <c r="I21" s="360" t="s">
        <v>519</v>
      </c>
      <c r="J21" s="354" t="s">
        <v>608</v>
      </c>
      <c r="K21" s="335" t="s">
        <v>609</v>
      </c>
      <c r="L21" s="354" t="s">
        <v>610</v>
      </c>
      <c r="M21" s="346" t="s">
        <v>606</v>
      </c>
      <c r="N21" s="346" t="s">
        <v>607</v>
      </c>
    </row>
    <row r="22" spans="1:14" s="270" customFormat="1" ht="56.25" customHeight="1">
      <c r="A22" s="8" t="s">
        <v>110</v>
      </c>
      <c r="B22" s="8" t="s">
        <v>507</v>
      </c>
      <c r="C22" s="8"/>
      <c r="D22" s="284"/>
      <c r="E22" s="1" t="s">
        <v>554</v>
      </c>
      <c r="F22" s="1"/>
      <c r="G22" s="285"/>
      <c r="H22" s="341"/>
      <c r="I22" s="361"/>
      <c r="J22" s="131"/>
      <c r="K22" s="336"/>
      <c r="L22" s="358"/>
      <c r="M22" s="347"/>
      <c r="N22" s="347"/>
    </row>
    <row r="23" spans="1:14" s="270" customFormat="1" ht="38.25" customHeight="1">
      <c r="A23" s="8" t="s">
        <v>110</v>
      </c>
      <c r="B23" s="8" t="s">
        <v>507</v>
      </c>
      <c r="C23" s="8" t="s">
        <v>9</v>
      </c>
      <c r="D23" s="7"/>
      <c r="E23" s="1" t="s">
        <v>555</v>
      </c>
      <c r="F23" s="1" t="s">
        <v>556</v>
      </c>
      <c r="G23" s="1" t="s">
        <v>557</v>
      </c>
      <c r="H23" s="341">
        <v>18</v>
      </c>
      <c r="I23" s="361">
        <v>18</v>
      </c>
      <c r="J23" s="381">
        <v>9205.9</v>
      </c>
      <c r="K23" s="380">
        <v>15929.4</v>
      </c>
      <c r="L23" s="381">
        <v>15929.4</v>
      </c>
      <c r="M23" s="382">
        <f>L23/J23%</f>
        <v>173.03468427856049</v>
      </c>
      <c r="N23" s="382">
        <f>L23/K23%</f>
        <v>100.00000000000001</v>
      </c>
    </row>
    <row r="24" spans="1:14" s="270" customFormat="1" ht="25.5">
      <c r="A24" s="282">
        <v>30</v>
      </c>
      <c r="B24" s="282">
        <v>3</v>
      </c>
      <c r="C24" s="282"/>
      <c r="D24" s="285"/>
      <c r="E24" s="274" t="s">
        <v>61</v>
      </c>
      <c r="F24" s="1"/>
      <c r="G24" s="1"/>
      <c r="H24" s="341"/>
      <c r="I24" s="361"/>
      <c r="J24" s="381"/>
      <c r="K24" s="380"/>
      <c r="L24" s="381"/>
      <c r="M24" s="382"/>
      <c r="N24" s="382"/>
    </row>
    <row r="25" spans="1:14" s="270" customFormat="1" ht="212.25" customHeight="1">
      <c r="A25" s="8" t="s">
        <v>110</v>
      </c>
      <c r="B25" s="8" t="s">
        <v>504</v>
      </c>
      <c r="C25" s="8" t="s">
        <v>7</v>
      </c>
      <c r="D25" s="8"/>
      <c r="E25" s="127" t="s">
        <v>484</v>
      </c>
      <c r="F25" s="128" t="s">
        <v>410</v>
      </c>
      <c r="G25" s="1" t="s">
        <v>409</v>
      </c>
      <c r="H25" s="341">
        <v>3359</v>
      </c>
      <c r="I25" s="361">
        <v>3259</v>
      </c>
      <c r="J25" s="380">
        <v>668153.59999999998</v>
      </c>
      <c r="K25" s="380">
        <v>668153.59999999998</v>
      </c>
      <c r="L25" s="381">
        <v>647601.63</v>
      </c>
      <c r="M25" s="382">
        <f t="shared" ref="M25:M36" si="0">L25/J25%</f>
        <v>96.924065065278398</v>
      </c>
      <c r="N25" s="382">
        <f t="shared" ref="N25:N36" si="1">L25/K25%</f>
        <v>96.924065065278398</v>
      </c>
    </row>
    <row r="26" spans="1:14" s="270" customFormat="1" ht="84.75" customHeight="1">
      <c r="A26" s="8" t="s">
        <v>110</v>
      </c>
      <c r="B26" s="8" t="s">
        <v>504</v>
      </c>
      <c r="C26" s="8" t="s">
        <v>8</v>
      </c>
      <c r="D26" s="7"/>
      <c r="E26" s="1" t="s">
        <v>438</v>
      </c>
      <c r="F26" s="1" t="s">
        <v>558</v>
      </c>
      <c r="G26" s="1" t="s">
        <v>559</v>
      </c>
      <c r="H26" s="341">
        <v>72000</v>
      </c>
      <c r="I26" s="361">
        <v>63648</v>
      </c>
      <c r="J26" s="381">
        <v>10347.6</v>
      </c>
      <c r="K26" s="380">
        <v>48095.69</v>
      </c>
      <c r="L26" s="381">
        <v>46204.38</v>
      </c>
      <c r="M26" s="382">
        <f t="shared" si="0"/>
        <v>446.52267192392435</v>
      </c>
      <c r="N26" s="382">
        <f t="shared" si="1"/>
        <v>96.067610216216863</v>
      </c>
    </row>
    <row r="27" spans="1:14" s="270" customFormat="1" ht="59.25" customHeight="1">
      <c r="A27" s="8" t="s">
        <v>110</v>
      </c>
      <c r="B27" s="8" t="s">
        <v>504</v>
      </c>
      <c r="C27" s="8" t="s">
        <v>8</v>
      </c>
      <c r="D27" s="7"/>
      <c r="E27" s="1" t="s">
        <v>560</v>
      </c>
      <c r="F27" s="1" t="s">
        <v>561</v>
      </c>
      <c r="G27" s="1" t="s">
        <v>562</v>
      </c>
      <c r="H27" s="341">
        <v>22</v>
      </c>
      <c r="I27" s="361">
        <v>24</v>
      </c>
      <c r="J27" s="381">
        <v>9447.7999999999993</v>
      </c>
      <c r="K27" s="380">
        <v>18.14</v>
      </c>
      <c r="L27" s="381">
        <v>17.420000000000002</v>
      </c>
      <c r="M27" s="382">
        <f t="shared" si="0"/>
        <v>0.18438154914371602</v>
      </c>
      <c r="N27" s="382">
        <f t="shared" si="1"/>
        <v>96.03087100330761</v>
      </c>
    </row>
    <row r="28" spans="1:14" s="270" customFormat="1" ht="71.25" customHeight="1">
      <c r="A28" s="8" t="s">
        <v>110</v>
      </c>
      <c r="B28" s="8" t="s">
        <v>504</v>
      </c>
      <c r="C28" s="8" t="s">
        <v>8</v>
      </c>
      <c r="D28" s="7"/>
      <c r="E28" s="1" t="s">
        <v>563</v>
      </c>
      <c r="F28" s="1" t="s">
        <v>561</v>
      </c>
      <c r="G28" s="1" t="s">
        <v>562</v>
      </c>
      <c r="H28" s="341">
        <v>30</v>
      </c>
      <c r="I28" s="361">
        <v>40</v>
      </c>
      <c r="J28" s="381">
        <v>8548</v>
      </c>
      <c r="K28" s="380">
        <v>30.23</v>
      </c>
      <c r="L28" s="381">
        <v>29.04</v>
      </c>
      <c r="M28" s="382">
        <f t="shared" si="0"/>
        <v>0.33972859148338791</v>
      </c>
      <c r="N28" s="382">
        <f t="shared" si="1"/>
        <v>96.063513066490231</v>
      </c>
    </row>
    <row r="29" spans="1:14" s="270" customFormat="1" ht="58.5" customHeight="1">
      <c r="A29" s="8" t="s">
        <v>110</v>
      </c>
      <c r="B29" s="8" t="s">
        <v>504</v>
      </c>
      <c r="C29" s="8" t="s">
        <v>8</v>
      </c>
      <c r="D29" s="7"/>
      <c r="E29" s="1" t="s">
        <v>564</v>
      </c>
      <c r="F29" s="1" t="s">
        <v>561</v>
      </c>
      <c r="G29" s="1" t="s">
        <v>562</v>
      </c>
      <c r="H29" s="341">
        <v>47</v>
      </c>
      <c r="I29" s="361">
        <v>60</v>
      </c>
      <c r="J29" s="381">
        <v>16646</v>
      </c>
      <c r="K29" s="380">
        <v>45.34</v>
      </c>
      <c r="L29" s="381">
        <v>43.56</v>
      </c>
      <c r="M29" s="382">
        <f t="shared" si="0"/>
        <v>0.26168448876606992</v>
      </c>
      <c r="N29" s="382">
        <f t="shared" si="1"/>
        <v>96.074106749007498</v>
      </c>
    </row>
    <row r="30" spans="1:14" s="386" customFormat="1" ht="24.75" hidden="1" customHeight="1">
      <c r="A30" s="383"/>
      <c r="B30" s="383"/>
      <c r="C30" s="383"/>
      <c r="D30" s="384"/>
      <c r="E30" s="385" t="s">
        <v>693</v>
      </c>
      <c r="F30" s="385"/>
      <c r="G30" s="385"/>
      <c r="H30" s="384">
        <f>SUM(H26:H29)</f>
        <v>72099</v>
      </c>
      <c r="I30" s="384">
        <f t="shared" ref="I30:L30" si="2">SUM(I26:I29)</f>
        <v>63772</v>
      </c>
      <c r="J30" s="384">
        <f t="shared" si="2"/>
        <v>44989.4</v>
      </c>
      <c r="K30" s="384">
        <f t="shared" si="2"/>
        <v>48189.4</v>
      </c>
      <c r="L30" s="384">
        <f t="shared" si="2"/>
        <v>46294.399999999994</v>
      </c>
      <c r="M30" s="382">
        <f t="shared" si="0"/>
        <v>102.90068327205962</v>
      </c>
      <c r="N30" s="382">
        <f t="shared" si="1"/>
        <v>96.067599928614996</v>
      </c>
    </row>
    <row r="31" spans="1:14" s="270" customFormat="1" ht="81" customHeight="1">
      <c r="A31" s="8" t="s">
        <v>110</v>
      </c>
      <c r="B31" s="8" t="s">
        <v>504</v>
      </c>
      <c r="C31" s="8" t="s">
        <v>9</v>
      </c>
      <c r="D31" s="7"/>
      <c r="E31" s="1" t="s">
        <v>565</v>
      </c>
      <c r="F31" s="1" t="s">
        <v>566</v>
      </c>
      <c r="G31" s="1" t="s">
        <v>567</v>
      </c>
      <c r="H31" s="341">
        <v>144</v>
      </c>
      <c r="I31" s="361">
        <v>144</v>
      </c>
      <c r="J31" s="387">
        <v>1090.3</v>
      </c>
      <c r="K31" s="380">
        <v>1144</v>
      </c>
      <c r="L31" s="381">
        <v>1123.4000000000001</v>
      </c>
      <c r="M31" s="382">
        <f t="shared" si="0"/>
        <v>103.03586168944329</v>
      </c>
      <c r="N31" s="382">
        <f t="shared" si="1"/>
        <v>98.199300699300707</v>
      </c>
    </row>
    <row r="32" spans="1:14" s="270" customFormat="1" ht="84.75" customHeight="1">
      <c r="A32" s="8" t="s">
        <v>110</v>
      </c>
      <c r="B32" s="8" t="s">
        <v>504</v>
      </c>
      <c r="C32" s="8" t="s">
        <v>9</v>
      </c>
      <c r="D32" s="7"/>
      <c r="E32" s="1" t="s">
        <v>441</v>
      </c>
      <c r="F32" s="1" t="s">
        <v>556</v>
      </c>
      <c r="G32" s="1" t="s">
        <v>557</v>
      </c>
      <c r="H32" s="341">
        <v>1536</v>
      </c>
      <c r="I32" s="361">
        <v>1820</v>
      </c>
      <c r="J32" s="387">
        <v>13780.4</v>
      </c>
      <c r="K32" s="380">
        <v>14459.5</v>
      </c>
      <c r="L32" s="381">
        <v>14199</v>
      </c>
      <c r="M32" s="382">
        <f t="shared" si="0"/>
        <v>103.03764767350729</v>
      </c>
      <c r="N32" s="382">
        <f t="shared" si="1"/>
        <v>98.198416266122621</v>
      </c>
    </row>
    <row r="33" spans="1:14" s="270" customFormat="1" ht="36.75" customHeight="1">
      <c r="A33" s="8" t="s">
        <v>110</v>
      </c>
      <c r="B33" s="8" t="s">
        <v>504</v>
      </c>
      <c r="C33" s="8" t="s">
        <v>9</v>
      </c>
      <c r="D33" s="7"/>
      <c r="E33" s="1" t="s">
        <v>568</v>
      </c>
      <c r="F33" s="1" t="s">
        <v>443</v>
      </c>
      <c r="G33" s="1" t="s">
        <v>562</v>
      </c>
      <c r="H33" s="341">
        <v>1420</v>
      </c>
      <c r="I33" s="361">
        <v>1420</v>
      </c>
      <c r="J33" s="381">
        <v>22270.1</v>
      </c>
      <c r="K33" s="380">
        <v>24037.599999999999</v>
      </c>
      <c r="L33" s="381">
        <v>23432.9</v>
      </c>
      <c r="M33" s="382">
        <f t="shared" si="0"/>
        <v>105.22135060013203</v>
      </c>
      <c r="N33" s="382">
        <f t="shared" si="1"/>
        <v>97.484357839384984</v>
      </c>
    </row>
    <row r="34" spans="1:14" s="270" customFormat="1" ht="233.25" customHeight="1">
      <c r="A34" s="8" t="s">
        <v>110</v>
      </c>
      <c r="B34" s="8" t="s">
        <v>504</v>
      </c>
      <c r="C34" s="8" t="s">
        <v>9</v>
      </c>
      <c r="D34" s="283"/>
      <c r="E34" s="272" t="s">
        <v>485</v>
      </c>
      <c r="F34" s="1" t="s">
        <v>443</v>
      </c>
      <c r="G34" s="1" t="s">
        <v>409</v>
      </c>
      <c r="H34" s="341">
        <v>5672</v>
      </c>
      <c r="I34" s="361">
        <f>[3]Table1!$S$9</f>
        <v>9508</v>
      </c>
      <c r="J34" s="381">
        <v>149115.70000000001</v>
      </c>
      <c r="K34" s="380">
        <v>160950.29999999999</v>
      </c>
      <c r="L34" s="381">
        <v>156901</v>
      </c>
      <c r="M34" s="382">
        <f t="shared" si="0"/>
        <v>105.22097941397182</v>
      </c>
      <c r="N34" s="382">
        <f t="shared" si="1"/>
        <v>97.48413019422766</v>
      </c>
    </row>
    <row r="35" spans="1:14" s="270" customFormat="1" ht="178.5" customHeight="1">
      <c r="A35" s="8" t="s">
        <v>110</v>
      </c>
      <c r="B35" s="8" t="s">
        <v>504</v>
      </c>
      <c r="C35" s="8" t="s">
        <v>9</v>
      </c>
      <c r="D35" s="283"/>
      <c r="E35" s="275" t="s">
        <v>439</v>
      </c>
      <c r="F35" s="1" t="s">
        <v>443</v>
      </c>
      <c r="G35" s="1" t="s">
        <v>409</v>
      </c>
      <c r="H35" s="341">
        <v>25219</v>
      </c>
      <c r="I35" s="361">
        <f>[3]Table1!$T$9-I33</f>
        <v>25718</v>
      </c>
      <c r="J35" s="381">
        <v>403340.1</v>
      </c>
      <c r="K35" s="380">
        <v>435351.2</v>
      </c>
      <c r="L35" s="381">
        <v>424398.4</v>
      </c>
      <c r="M35" s="382">
        <f t="shared" si="0"/>
        <v>105.22097852407931</v>
      </c>
      <c r="N35" s="382">
        <f t="shared" si="1"/>
        <v>97.484146133053045</v>
      </c>
    </row>
    <row r="36" spans="1:14" s="270" customFormat="1" ht="179.25" customHeight="1">
      <c r="A36" s="8" t="s">
        <v>110</v>
      </c>
      <c r="B36" s="8" t="s">
        <v>504</v>
      </c>
      <c r="C36" s="8" t="s">
        <v>9</v>
      </c>
      <c r="D36" s="283"/>
      <c r="E36" s="1" t="s">
        <v>440</v>
      </c>
      <c r="F36" s="1" t="s">
        <v>443</v>
      </c>
      <c r="G36" s="1" t="s">
        <v>409</v>
      </c>
      <c r="H36" s="341">
        <v>19134</v>
      </c>
      <c r="I36" s="361">
        <f>[3]Table1!$U$9</f>
        <v>20762</v>
      </c>
      <c r="J36" s="381">
        <v>325614.2</v>
      </c>
      <c r="K36" s="380">
        <v>351456.6</v>
      </c>
      <c r="L36" s="381">
        <v>342614.5</v>
      </c>
      <c r="M36" s="382">
        <f t="shared" si="0"/>
        <v>105.22099466178071</v>
      </c>
      <c r="N36" s="382">
        <f t="shared" si="1"/>
        <v>97.484155938457278</v>
      </c>
    </row>
    <row r="37" spans="1:14" s="270" customFormat="1" ht="22.5" customHeight="1">
      <c r="A37" s="614" t="s">
        <v>576</v>
      </c>
      <c r="B37" s="614"/>
      <c r="C37" s="614"/>
      <c r="D37" s="614"/>
      <c r="E37" s="614"/>
      <c r="F37" s="614"/>
      <c r="G37" s="614"/>
      <c r="H37" s="614"/>
      <c r="I37" s="614"/>
      <c r="J37" s="615"/>
      <c r="K37" s="337"/>
      <c r="L37" s="355"/>
      <c r="M37" s="348"/>
      <c r="N37" s="348"/>
    </row>
    <row r="38" spans="1:14" s="270" customFormat="1" ht="12.75">
      <c r="A38" s="276"/>
      <c r="B38" s="276"/>
      <c r="C38" s="276"/>
      <c r="D38" s="277"/>
      <c r="E38" s="277"/>
      <c r="H38" s="342"/>
      <c r="I38" s="362"/>
      <c r="J38" s="355"/>
      <c r="K38" s="337"/>
      <c r="L38" s="355"/>
      <c r="M38" s="348"/>
      <c r="N38" s="348"/>
    </row>
    <row r="39" spans="1:14" s="270" customFormat="1" ht="12.75">
      <c r="A39" s="269"/>
      <c r="B39" s="269"/>
      <c r="C39" s="269"/>
      <c r="H39" s="342"/>
      <c r="I39" s="362"/>
      <c r="J39" s="355"/>
      <c r="K39" s="337"/>
      <c r="L39" s="355"/>
      <c r="M39" s="348"/>
      <c r="N39" s="348"/>
    </row>
    <row r="40" spans="1:14" s="270" customFormat="1" ht="12.75">
      <c r="A40" s="269"/>
      <c r="B40" s="269"/>
      <c r="C40" s="269"/>
      <c r="H40" s="342"/>
      <c r="I40" s="362"/>
      <c r="J40" s="355"/>
      <c r="K40" s="337"/>
      <c r="L40" s="355"/>
      <c r="M40" s="348"/>
      <c r="N40" s="348"/>
    </row>
    <row r="41" spans="1:14" s="270" customFormat="1" ht="12.75">
      <c r="A41" s="269"/>
      <c r="B41" s="269"/>
      <c r="C41" s="269"/>
      <c r="H41" s="342"/>
      <c r="I41" s="362"/>
      <c r="J41" s="355"/>
      <c r="K41" s="337"/>
      <c r="L41" s="355"/>
      <c r="M41" s="348"/>
      <c r="N41" s="348"/>
    </row>
    <row r="42" spans="1:14" s="270" customFormat="1" ht="12.75">
      <c r="A42" s="269"/>
      <c r="B42" s="269"/>
      <c r="C42" s="269"/>
      <c r="H42" s="342"/>
      <c r="I42" s="362"/>
      <c r="J42" s="355"/>
      <c r="K42" s="337"/>
      <c r="L42" s="355"/>
      <c r="M42" s="348"/>
      <c r="N42" s="348"/>
    </row>
    <row r="43" spans="1:14" ht="15.75">
      <c r="F43" s="246"/>
    </row>
  </sheetData>
  <mergeCells count="15">
    <mergeCell ref="A37:J37"/>
    <mergeCell ref="A20:D20"/>
    <mergeCell ref="G20:G21"/>
    <mergeCell ref="M20:N20"/>
    <mergeCell ref="A8:N8"/>
    <mergeCell ref="A9:N9"/>
    <mergeCell ref="A10:N10"/>
    <mergeCell ref="A11:N11"/>
    <mergeCell ref="A12:N12"/>
    <mergeCell ref="A14:I14"/>
    <mergeCell ref="A18:I18"/>
    <mergeCell ref="E20:E21"/>
    <mergeCell ref="F20:F21"/>
    <mergeCell ref="H20:I20"/>
    <mergeCell ref="J20:L20"/>
  </mergeCells>
  <printOptions horizontalCentered="1"/>
  <pageMargins left="0.35433070866141736" right="0.15748031496062992" top="0.27559055118110237" bottom="0.27559055118110237" header="0.31496062992125984" footer="0.31496062992125984"/>
  <pageSetup paperSize="9" scale="68" fitToHeight="5" orientation="landscape" r:id="rId1"/>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L52"/>
  <sheetViews>
    <sheetView topLeftCell="A52" zoomScale="90" zoomScaleNormal="90" zoomScalePageLayoutView="80" workbookViewId="0">
      <selection activeCell="M19" sqref="M1:M1048576"/>
    </sheetView>
  </sheetViews>
  <sheetFormatPr defaultColWidth="9.140625" defaultRowHeight="15.75"/>
  <cols>
    <col min="1" max="1" width="10.42578125" style="242" customWidth="1"/>
    <col min="2" max="2" width="7" style="242" customWidth="1"/>
    <col min="3" max="3" width="4.85546875" style="243" customWidth="1"/>
    <col min="4" max="4" width="54.7109375" style="243" customWidth="1"/>
    <col min="5" max="5" width="11.5703125" style="244" customWidth="1"/>
    <col min="6" max="7" width="12.42578125" style="245" hidden="1" customWidth="1"/>
    <col min="8" max="8" width="18.7109375" style="247" customWidth="1"/>
    <col min="9" max="9" width="11" style="247" customWidth="1"/>
    <col min="10" max="10" width="11" style="267" customWidth="1"/>
    <col min="11" max="11" width="15.28515625" style="379" customWidth="1"/>
    <col min="12" max="12" width="35.85546875" style="267" customWidth="1"/>
    <col min="13" max="16384" width="9.140625" style="247"/>
  </cols>
  <sheetData>
    <row r="1" spans="1:12" s="88" customFormat="1" ht="15.75" customHeight="1">
      <c r="B1" s="94"/>
      <c r="F1" s="94"/>
      <c r="J1" s="94"/>
      <c r="K1" s="625" t="s">
        <v>584</v>
      </c>
      <c r="L1" s="625"/>
    </row>
    <row r="2" spans="1:12" s="88" customFormat="1" ht="15.75" customHeight="1">
      <c r="B2" s="94"/>
      <c r="F2" s="94"/>
      <c r="J2" s="94"/>
      <c r="K2" s="625" t="s">
        <v>654</v>
      </c>
      <c r="L2" s="625"/>
    </row>
    <row r="3" spans="1:12" s="88" customFormat="1" ht="15.75" customHeight="1">
      <c r="B3" s="94"/>
      <c r="F3" s="94"/>
      <c r="J3" s="94"/>
      <c r="K3" s="625" t="s">
        <v>655</v>
      </c>
      <c r="L3" s="625"/>
    </row>
    <row r="4" spans="1:12" s="88" customFormat="1" ht="15.75" customHeight="1">
      <c r="B4" s="94"/>
      <c r="F4" s="94"/>
      <c r="J4" s="94"/>
      <c r="K4" s="625" t="s">
        <v>612</v>
      </c>
      <c r="L4" s="625"/>
    </row>
    <row r="5" spans="1:12" s="88" customFormat="1" ht="12.75">
      <c r="B5" s="94"/>
      <c r="F5" s="94"/>
      <c r="J5" s="94"/>
      <c r="K5" s="377"/>
      <c r="L5" s="292"/>
    </row>
    <row r="6" spans="1:12" s="88" customFormat="1" ht="12.75">
      <c r="B6" s="94"/>
      <c r="F6" s="94"/>
      <c r="J6" s="94"/>
      <c r="K6" s="377"/>
      <c r="L6" s="376" t="s">
        <v>591</v>
      </c>
    </row>
    <row r="7" spans="1:12" s="88" customFormat="1" ht="12.75">
      <c r="B7" s="94"/>
      <c r="F7" s="94"/>
      <c r="J7" s="94"/>
      <c r="K7" s="377"/>
      <c r="L7" s="94"/>
    </row>
    <row r="8" spans="1:12" s="88" customFormat="1" ht="12.75">
      <c r="B8" s="94"/>
      <c r="F8" s="94"/>
      <c r="J8" s="94"/>
      <c r="K8" s="377"/>
      <c r="L8" s="94"/>
    </row>
    <row r="9" spans="1:12" s="88" customFormat="1" ht="12.75">
      <c r="B9" s="94"/>
      <c r="F9" s="94"/>
      <c r="J9" s="94"/>
      <c r="K9" s="377"/>
      <c r="L9" s="94"/>
    </row>
    <row r="10" spans="1:12" s="88" customFormat="1" ht="12.75">
      <c r="A10" s="293"/>
      <c r="B10" s="94"/>
      <c r="F10" s="94"/>
      <c r="J10" s="94"/>
      <c r="K10" s="377"/>
      <c r="L10" s="94"/>
    </row>
    <row r="11" spans="1:12" s="88" customFormat="1" ht="12.75">
      <c r="A11" s="543" t="s">
        <v>592</v>
      </c>
      <c r="B11" s="543"/>
      <c r="C11" s="543"/>
      <c r="D11" s="543"/>
      <c r="E11" s="543"/>
      <c r="F11" s="543"/>
      <c r="G11" s="543"/>
      <c r="H11" s="543"/>
      <c r="I11" s="543"/>
      <c r="J11" s="543"/>
      <c r="K11" s="543"/>
      <c r="L11" s="543"/>
    </row>
    <row r="12" spans="1:12" s="88" customFormat="1" ht="12.75">
      <c r="A12" s="543" t="s">
        <v>593</v>
      </c>
      <c r="B12" s="543"/>
      <c r="C12" s="543"/>
      <c r="D12" s="543"/>
      <c r="E12" s="543"/>
      <c r="F12" s="543"/>
      <c r="G12" s="543"/>
      <c r="H12" s="543"/>
      <c r="I12" s="543"/>
      <c r="J12" s="543"/>
      <c r="K12" s="543"/>
      <c r="L12" s="543"/>
    </row>
    <row r="13" spans="1:12" s="88" customFormat="1" ht="12.75">
      <c r="A13" s="543" t="s">
        <v>953</v>
      </c>
      <c r="B13" s="543"/>
      <c r="C13" s="543"/>
      <c r="D13" s="543"/>
      <c r="E13" s="543"/>
      <c r="F13" s="543"/>
      <c r="G13" s="543"/>
      <c r="H13" s="543"/>
      <c r="I13" s="543"/>
      <c r="J13" s="543"/>
      <c r="K13" s="543"/>
      <c r="L13" s="543"/>
    </row>
    <row r="14" spans="1:12" s="88" customFormat="1" ht="12.75">
      <c r="B14" s="94"/>
      <c r="E14" s="299"/>
      <c r="F14" s="300"/>
      <c r="G14" s="301"/>
      <c r="J14" s="94"/>
      <c r="K14" s="377"/>
      <c r="L14" s="94"/>
    </row>
    <row r="15" spans="1:12" s="88" customFormat="1" ht="12.75">
      <c r="A15" s="543" t="s">
        <v>594</v>
      </c>
      <c r="B15" s="543"/>
      <c r="C15" s="543"/>
      <c r="D15" s="543"/>
      <c r="E15" s="543"/>
      <c r="F15" s="543"/>
      <c r="G15" s="543"/>
      <c r="H15" s="543"/>
      <c r="I15" s="543"/>
      <c r="J15" s="543"/>
      <c r="K15" s="543"/>
      <c r="L15" s="543"/>
    </row>
    <row r="16" spans="1:12" s="88" customFormat="1" ht="12.75">
      <c r="A16" s="543" t="s">
        <v>582</v>
      </c>
      <c r="B16" s="543"/>
      <c r="C16" s="543"/>
      <c r="D16" s="543"/>
      <c r="E16" s="543"/>
      <c r="F16" s="543"/>
      <c r="G16" s="543"/>
      <c r="H16" s="543"/>
      <c r="I16" s="543"/>
      <c r="J16" s="543"/>
      <c r="K16" s="543"/>
      <c r="L16" s="543"/>
    </row>
    <row r="17" spans="1:12" s="88" customFormat="1" ht="12.75">
      <c r="A17" s="88" t="s">
        <v>583</v>
      </c>
      <c r="B17" s="94"/>
      <c r="E17" s="299"/>
      <c r="F17" s="300"/>
      <c r="G17" s="301"/>
      <c r="J17" s="94"/>
      <c r="K17" s="377"/>
      <c r="L17" s="94"/>
    </row>
    <row r="18" spans="1:12" s="88" customFormat="1" ht="12.75">
      <c r="B18" s="94"/>
      <c r="E18" s="299"/>
      <c r="F18" s="300"/>
      <c r="G18" s="301"/>
      <c r="J18" s="94"/>
      <c r="K18" s="377"/>
      <c r="L18" s="94"/>
    </row>
    <row r="19" spans="1:12" s="88" customFormat="1" ht="12.75">
      <c r="A19" s="544" t="s">
        <v>657</v>
      </c>
      <c r="B19" s="544"/>
      <c r="C19" s="544"/>
      <c r="D19" s="544"/>
      <c r="E19" s="544"/>
      <c r="F19" s="544"/>
      <c r="G19" s="544"/>
      <c r="H19" s="544"/>
      <c r="I19" s="71"/>
      <c r="J19" s="72"/>
      <c r="K19" s="377"/>
      <c r="L19" s="94"/>
    </row>
    <row r="20" spans="1:12" s="88" customFormat="1" ht="12.75">
      <c r="A20" s="293"/>
      <c r="B20" s="94"/>
      <c r="F20" s="94"/>
      <c r="J20" s="94"/>
      <c r="K20" s="377"/>
      <c r="L20" s="94"/>
    </row>
    <row r="21" spans="1:12" s="364" customFormat="1" ht="68.25" customHeight="1">
      <c r="A21" s="592" t="s">
        <v>3</v>
      </c>
      <c r="B21" s="592"/>
      <c r="C21" s="592" t="s">
        <v>512</v>
      </c>
      <c r="D21" s="627" t="s">
        <v>513</v>
      </c>
      <c r="E21" s="627" t="s">
        <v>514</v>
      </c>
      <c r="F21" s="365" t="s">
        <v>515</v>
      </c>
      <c r="G21" s="366"/>
      <c r="H21" s="592" t="s">
        <v>666</v>
      </c>
      <c r="I21" s="616" t="s">
        <v>515</v>
      </c>
      <c r="J21" s="617"/>
      <c r="K21" s="539" t="s">
        <v>669</v>
      </c>
      <c r="L21" s="538" t="s">
        <v>670</v>
      </c>
    </row>
    <row r="22" spans="1:12" s="364" customFormat="1" ht="52.5" customHeight="1">
      <c r="A22" s="592"/>
      <c r="B22" s="592"/>
      <c r="C22" s="592"/>
      <c r="D22" s="627"/>
      <c r="E22" s="627"/>
      <c r="F22" s="367" t="s">
        <v>516</v>
      </c>
      <c r="G22" s="368" t="s">
        <v>517</v>
      </c>
      <c r="H22" s="592"/>
      <c r="I22" s="628" t="s">
        <v>667</v>
      </c>
      <c r="J22" s="538" t="s">
        <v>668</v>
      </c>
      <c r="K22" s="539"/>
      <c r="L22" s="538"/>
    </row>
    <row r="23" spans="1:12" s="364" customFormat="1">
      <c r="A23" s="321" t="s">
        <v>4</v>
      </c>
      <c r="B23" s="369" t="s">
        <v>5</v>
      </c>
      <c r="C23" s="592"/>
      <c r="D23" s="627"/>
      <c r="E23" s="627"/>
      <c r="F23" s="367" t="s">
        <v>518</v>
      </c>
      <c r="G23" s="368" t="s">
        <v>519</v>
      </c>
      <c r="H23" s="592"/>
      <c r="I23" s="629"/>
      <c r="J23" s="538"/>
      <c r="K23" s="539"/>
      <c r="L23" s="538"/>
    </row>
    <row r="24" spans="1:12" ht="15.75" customHeight="1">
      <c r="A24" s="639" t="s">
        <v>520</v>
      </c>
      <c r="B24" s="639"/>
      <c r="C24" s="639"/>
      <c r="D24" s="639"/>
      <c r="E24" s="639"/>
      <c r="F24" s="639"/>
      <c r="G24" s="639"/>
      <c r="H24" s="639"/>
      <c r="I24" s="639"/>
      <c r="J24" s="639"/>
      <c r="K24" s="639"/>
      <c r="L24" s="639"/>
    </row>
    <row r="25" spans="1:12" ht="78.75">
      <c r="A25" s="249" t="s">
        <v>110</v>
      </c>
      <c r="B25" s="248" t="s">
        <v>521</v>
      </c>
      <c r="C25" s="250">
        <v>1</v>
      </c>
      <c r="D25" s="251" t="s">
        <v>522</v>
      </c>
      <c r="E25" s="350" t="s">
        <v>523</v>
      </c>
      <c r="F25" s="252">
        <v>97.7</v>
      </c>
      <c r="G25" s="252">
        <v>97.8</v>
      </c>
      <c r="H25" s="253">
        <v>99</v>
      </c>
      <c r="I25" s="253">
        <v>98.7</v>
      </c>
      <c r="J25" s="253">
        <v>99.63</v>
      </c>
      <c r="K25" s="378" t="s">
        <v>685</v>
      </c>
      <c r="L25" s="375"/>
    </row>
    <row r="26" spans="1:12" ht="79.5" customHeight="1">
      <c r="A26" s="254" t="s">
        <v>110</v>
      </c>
      <c r="B26" s="254" t="s">
        <v>521</v>
      </c>
      <c r="C26" s="255">
        <v>2</v>
      </c>
      <c r="D26" s="256" t="s">
        <v>524</v>
      </c>
      <c r="E26" s="350" t="s">
        <v>523</v>
      </c>
      <c r="F26" s="252">
        <v>32</v>
      </c>
      <c r="G26" s="252">
        <v>32.5</v>
      </c>
      <c r="H26" s="257">
        <v>58.5</v>
      </c>
      <c r="I26" s="257">
        <v>80</v>
      </c>
      <c r="J26" s="257">
        <v>81.099999999999994</v>
      </c>
      <c r="K26" s="378" t="s">
        <v>686</v>
      </c>
      <c r="L26" s="375"/>
    </row>
    <row r="27" spans="1:12" ht="31.5">
      <c r="A27" s="254" t="s">
        <v>110</v>
      </c>
      <c r="B27" s="254" t="s">
        <v>521</v>
      </c>
      <c r="C27" s="255">
        <v>3</v>
      </c>
      <c r="D27" s="256" t="s">
        <v>525</v>
      </c>
      <c r="E27" s="350" t="s">
        <v>523</v>
      </c>
      <c r="F27" s="252">
        <v>75.099999999999994</v>
      </c>
      <c r="G27" s="252">
        <v>75.099999999999994</v>
      </c>
      <c r="H27" s="257">
        <v>64.5</v>
      </c>
      <c r="I27" s="257">
        <v>63.4</v>
      </c>
      <c r="J27" s="257">
        <v>63.6</v>
      </c>
      <c r="K27" s="378" t="s">
        <v>687</v>
      </c>
      <c r="L27" s="375"/>
    </row>
    <row r="28" spans="1:12">
      <c r="A28" s="630" t="s">
        <v>526</v>
      </c>
      <c r="B28" s="631"/>
      <c r="C28" s="631"/>
      <c r="D28" s="631"/>
      <c r="E28" s="631"/>
      <c r="F28" s="631"/>
      <c r="G28" s="631"/>
      <c r="H28" s="631"/>
      <c r="I28" s="631"/>
      <c r="J28" s="631"/>
      <c r="K28" s="631"/>
      <c r="L28" s="632"/>
    </row>
    <row r="29" spans="1:12" ht="108.75" customHeight="1">
      <c r="A29" s="249" t="s">
        <v>110</v>
      </c>
      <c r="B29" s="249" t="s">
        <v>99</v>
      </c>
      <c r="C29" s="258">
        <v>1</v>
      </c>
      <c r="D29" s="259" t="s">
        <v>527</v>
      </c>
      <c r="E29" s="260" t="s">
        <v>523</v>
      </c>
      <c r="F29" s="252">
        <v>99</v>
      </c>
      <c r="G29" s="252">
        <v>98</v>
      </c>
      <c r="H29" s="250">
        <v>98.4</v>
      </c>
      <c r="I29" s="250">
        <v>98.4</v>
      </c>
      <c r="J29" s="253">
        <v>99.8</v>
      </c>
      <c r="K29" s="378" t="s">
        <v>688</v>
      </c>
      <c r="L29" s="375"/>
    </row>
    <row r="30" spans="1:12" ht="79.5" customHeight="1">
      <c r="A30" s="249" t="s">
        <v>110</v>
      </c>
      <c r="B30" s="249" t="s">
        <v>99</v>
      </c>
      <c r="C30" s="258">
        <v>2</v>
      </c>
      <c r="D30" s="256" t="s">
        <v>528</v>
      </c>
      <c r="E30" s="260" t="s">
        <v>523</v>
      </c>
      <c r="F30" s="261">
        <v>141.5</v>
      </c>
      <c r="G30" s="252">
        <v>141</v>
      </c>
      <c r="H30" s="253">
        <v>30</v>
      </c>
      <c r="I30" s="253">
        <v>27</v>
      </c>
      <c r="J30" s="253">
        <v>29</v>
      </c>
      <c r="K30" s="378" t="s">
        <v>689</v>
      </c>
      <c r="L30" s="375"/>
    </row>
    <row r="31" spans="1:12" ht="79.5" customHeight="1">
      <c r="A31" s="249" t="s">
        <v>110</v>
      </c>
      <c r="B31" s="249" t="s">
        <v>99</v>
      </c>
      <c r="C31" s="258">
        <v>3</v>
      </c>
      <c r="D31" s="256" t="s">
        <v>529</v>
      </c>
      <c r="E31" s="260" t="s">
        <v>523</v>
      </c>
      <c r="F31" s="262">
        <v>133.80000000000001</v>
      </c>
      <c r="G31" s="262">
        <v>133</v>
      </c>
      <c r="H31" s="263">
        <v>30</v>
      </c>
      <c r="I31" s="263">
        <v>29</v>
      </c>
      <c r="J31" s="263">
        <v>29.8</v>
      </c>
      <c r="K31" s="378" t="s">
        <v>690</v>
      </c>
      <c r="L31" s="375"/>
    </row>
    <row r="32" spans="1:12">
      <c r="A32" s="633" t="s">
        <v>530</v>
      </c>
      <c r="B32" s="634"/>
      <c r="C32" s="634"/>
      <c r="D32" s="634"/>
      <c r="E32" s="634"/>
      <c r="F32" s="634"/>
      <c r="G32" s="634"/>
      <c r="H32" s="634"/>
      <c r="I32" s="634"/>
      <c r="J32" s="634"/>
      <c r="K32" s="634"/>
      <c r="L32" s="635"/>
    </row>
    <row r="33" spans="1:12" ht="63.75">
      <c r="A33" s="254" t="s">
        <v>110</v>
      </c>
      <c r="B33" s="254" t="s">
        <v>507</v>
      </c>
      <c r="C33" s="255">
        <v>1</v>
      </c>
      <c r="D33" s="256" t="s">
        <v>531</v>
      </c>
      <c r="E33" s="264" t="s">
        <v>532</v>
      </c>
      <c r="F33" s="252">
        <v>56</v>
      </c>
      <c r="G33" s="252">
        <v>42</v>
      </c>
      <c r="H33" s="371" t="s">
        <v>678</v>
      </c>
      <c r="I33" s="372" t="s">
        <v>679</v>
      </c>
      <c r="J33" s="250" t="s">
        <v>680</v>
      </c>
      <c r="K33" s="388" t="s">
        <v>702</v>
      </c>
      <c r="L33" s="10" t="s">
        <v>958</v>
      </c>
    </row>
    <row r="34" spans="1:12" ht="47.25">
      <c r="A34" s="254" t="s">
        <v>110</v>
      </c>
      <c r="B34" s="254" t="s">
        <v>507</v>
      </c>
      <c r="C34" s="255">
        <v>2</v>
      </c>
      <c r="D34" s="256" t="s">
        <v>533</v>
      </c>
      <c r="E34" s="264" t="s">
        <v>532</v>
      </c>
      <c r="F34" s="261">
        <v>2.9</v>
      </c>
      <c r="G34" s="261">
        <v>1.9</v>
      </c>
      <c r="H34" s="250">
        <v>0.7</v>
      </c>
      <c r="I34" s="250">
        <v>0.6</v>
      </c>
      <c r="J34" s="250">
        <v>0.6</v>
      </c>
      <c r="K34" s="388" t="s">
        <v>700</v>
      </c>
      <c r="L34" s="375"/>
    </row>
    <row r="35" spans="1:12" ht="15.75" customHeight="1">
      <c r="A35" s="636" t="s">
        <v>534</v>
      </c>
      <c r="B35" s="637"/>
      <c r="C35" s="637"/>
      <c r="D35" s="637"/>
      <c r="E35" s="637"/>
      <c r="F35" s="637"/>
      <c r="G35" s="637"/>
      <c r="H35" s="637"/>
      <c r="I35" s="637"/>
      <c r="J35" s="637"/>
      <c r="K35" s="637"/>
      <c r="L35" s="638"/>
    </row>
    <row r="36" spans="1:12" ht="63" customHeight="1">
      <c r="A36" s="249" t="s">
        <v>110</v>
      </c>
      <c r="B36" s="248" t="s">
        <v>504</v>
      </c>
      <c r="C36" s="250">
        <v>1</v>
      </c>
      <c r="D36" s="251" t="s">
        <v>535</v>
      </c>
      <c r="E36" s="350" t="s">
        <v>536</v>
      </c>
      <c r="F36" s="261">
        <v>22.37</v>
      </c>
      <c r="G36" s="261">
        <v>22.39</v>
      </c>
      <c r="H36" s="250">
        <v>21.57</v>
      </c>
      <c r="I36" s="250">
        <v>21.57</v>
      </c>
      <c r="J36" s="250">
        <v>21.57</v>
      </c>
      <c r="K36" s="388" t="s">
        <v>700</v>
      </c>
      <c r="L36" s="375"/>
    </row>
    <row r="37" spans="1:12" s="483" customFormat="1" ht="55.5" customHeight="1">
      <c r="A37" s="477" t="s">
        <v>110</v>
      </c>
      <c r="B37" s="477" t="s">
        <v>504</v>
      </c>
      <c r="C37" s="372">
        <v>2</v>
      </c>
      <c r="D37" s="478" t="s">
        <v>537</v>
      </c>
      <c r="E37" s="371" t="s">
        <v>523</v>
      </c>
      <c r="F37" s="479">
        <v>68</v>
      </c>
      <c r="G37" s="479">
        <v>64</v>
      </c>
      <c r="H37" s="479">
        <v>50</v>
      </c>
      <c r="I37" s="479">
        <v>50</v>
      </c>
      <c r="J37" s="480">
        <v>50</v>
      </c>
      <c r="K37" s="481" t="s">
        <v>683</v>
      </c>
      <c r="L37" s="482"/>
    </row>
    <row r="38" spans="1:12" ht="153.75" customHeight="1">
      <c r="A38" s="254" t="s">
        <v>110</v>
      </c>
      <c r="B38" s="254" t="s">
        <v>504</v>
      </c>
      <c r="C38" s="255">
        <v>3</v>
      </c>
      <c r="D38" s="256" t="s">
        <v>538</v>
      </c>
      <c r="E38" s="260" t="s">
        <v>523</v>
      </c>
      <c r="F38" s="252">
        <v>0</v>
      </c>
      <c r="G38" s="252">
        <v>0</v>
      </c>
      <c r="H38" s="266">
        <v>4.17</v>
      </c>
      <c r="I38" s="266">
        <v>4.17</v>
      </c>
      <c r="J38" s="370">
        <v>0</v>
      </c>
      <c r="K38" s="378" t="s">
        <v>681</v>
      </c>
      <c r="L38" s="373" t="s">
        <v>677</v>
      </c>
    </row>
    <row r="39" spans="1:12" ht="93" customHeight="1">
      <c r="A39" s="254" t="s">
        <v>110</v>
      </c>
      <c r="B39" s="254" t="s">
        <v>504</v>
      </c>
      <c r="C39" s="255">
        <v>4</v>
      </c>
      <c r="D39" s="256" t="s">
        <v>539</v>
      </c>
      <c r="E39" s="260" t="s">
        <v>540</v>
      </c>
      <c r="F39" s="252"/>
      <c r="G39" s="252"/>
      <c r="H39" s="253">
        <v>42</v>
      </c>
      <c r="I39" s="253">
        <v>42</v>
      </c>
      <c r="J39" s="253">
        <v>42</v>
      </c>
      <c r="K39" s="388" t="s">
        <v>701</v>
      </c>
      <c r="L39" s="375"/>
    </row>
    <row r="40" spans="1:12" s="267" customFormat="1" ht="114" customHeight="1">
      <c r="A40" s="248" t="s">
        <v>110</v>
      </c>
      <c r="B40" s="248" t="s">
        <v>504</v>
      </c>
      <c r="C40" s="250">
        <v>5</v>
      </c>
      <c r="D40" s="256" t="s">
        <v>541</v>
      </c>
      <c r="E40" s="350" t="s">
        <v>523</v>
      </c>
      <c r="F40" s="253"/>
      <c r="G40" s="253"/>
      <c r="H40" s="253">
        <v>0.4</v>
      </c>
      <c r="I40" s="253">
        <v>0.4</v>
      </c>
      <c r="J40" s="253">
        <v>0.4</v>
      </c>
      <c r="K40" s="378" t="s">
        <v>683</v>
      </c>
      <c r="L40" s="375"/>
    </row>
    <row r="41" spans="1:12" s="267" customFormat="1" ht="71.25" customHeight="1">
      <c r="A41" s="248" t="s">
        <v>110</v>
      </c>
      <c r="B41" s="248" t="s">
        <v>504</v>
      </c>
      <c r="C41" s="250">
        <v>6</v>
      </c>
      <c r="D41" s="256" t="s">
        <v>542</v>
      </c>
      <c r="E41" s="350" t="s">
        <v>523</v>
      </c>
      <c r="F41" s="253"/>
      <c r="G41" s="253"/>
      <c r="H41" s="253">
        <v>6.6</v>
      </c>
      <c r="I41" s="253">
        <v>8.8000000000000007</v>
      </c>
      <c r="J41" s="374">
        <v>8.9499999999999993</v>
      </c>
      <c r="K41" s="378" t="s">
        <v>682</v>
      </c>
      <c r="L41" s="375"/>
    </row>
    <row r="42" spans="1:12" s="267" customFormat="1" ht="93.75" customHeight="1">
      <c r="A42" s="248" t="s">
        <v>110</v>
      </c>
      <c r="B42" s="248" t="s">
        <v>504</v>
      </c>
      <c r="C42" s="250">
        <v>7</v>
      </c>
      <c r="D42" s="416" t="s">
        <v>694</v>
      </c>
      <c r="E42" s="350" t="s">
        <v>523</v>
      </c>
      <c r="F42" s="253"/>
      <c r="G42" s="253"/>
      <c r="H42" s="253" t="s">
        <v>695</v>
      </c>
      <c r="I42" s="253">
        <v>100</v>
      </c>
      <c r="J42" s="374">
        <v>100</v>
      </c>
      <c r="K42" s="378" t="s">
        <v>683</v>
      </c>
      <c r="L42" s="375"/>
    </row>
    <row r="43" spans="1:12" ht="19.5" customHeight="1">
      <c r="A43" s="630" t="s">
        <v>543</v>
      </c>
      <c r="B43" s="631"/>
      <c r="C43" s="631"/>
      <c r="D43" s="631"/>
      <c r="E43" s="631"/>
      <c r="F43" s="631"/>
      <c r="G43" s="631"/>
      <c r="H43" s="631"/>
      <c r="I43" s="631"/>
      <c r="J43" s="631"/>
      <c r="K43" s="631"/>
      <c r="L43" s="632"/>
    </row>
    <row r="44" spans="1:12" ht="63" customHeight="1">
      <c r="A44" s="254" t="s">
        <v>110</v>
      </c>
      <c r="B44" s="254" t="s">
        <v>508</v>
      </c>
      <c r="C44" s="254" t="s">
        <v>99</v>
      </c>
      <c r="D44" s="268" t="s">
        <v>544</v>
      </c>
      <c r="E44" s="260" t="s">
        <v>523</v>
      </c>
      <c r="F44" s="252"/>
      <c r="G44" s="252"/>
      <c r="H44" s="265">
        <v>100</v>
      </c>
      <c r="I44" s="265">
        <v>100</v>
      </c>
      <c r="J44" s="257">
        <v>100</v>
      </c>
      <c r="K44" s="378" t="s">
        <v>683</v>
      </c>
      <c r="L44" s="375"/>
    </row>
    <row r="45" spans="1:12" s="267" customFormat="1" ht="48.75" customHeight="1">
      <c r="A45" s="248" t="s">
        <v>110</v>
      </c>
      <c r="B45" s="248" t="s">
        <v>10</v>
      </c>
      <c r="C45" s="250">
        <v>2</v>
      </c>
      <c r="D45" s="256" t="s">
        <v>691</v>
      </c>
      <c r="E45" s="350" t="s">
        <v>523</v>
      </c>
      <c r="F45" s="253"/>
      <c r="G45" s="253"/>
      <c r="H45" s="257">
        <v>94.7</v>
      </c>
      <c r="I45" s="257" t="s">
        <v>692</v>
      </c>
      <c r="J45" s="257">
        <v>100</v>
      </c>
      <c r="K45" s="378" t="s">
        <v>683</v>
      </c>
      <c r="L45" s="375"/>
    </row>
    <row r="46" spans="1:12" ht="115.5" customHeight="1">
      <c r="A46" s="254" t="s">
        <v>110</v>
      </c>
      <c r="B46" s="254" t="s">
        <v>10</v>
      </c>
      <c r="C46" s="255">
        <v>3</v>
      </c>
      <c r="D46" s="259" t="s">
        <v>545</v>
      </c>
      <c r="E46" s="350" t="s">
        <v>523</v>
      </c>
      <c r="F46" s="252"/>
      <c r="G46" s="252"/>
      <c r="H46" s="253">
        <v>100</v>
      </c>
      <c r="I46" s="253">
        <v>100</v>
      </c>
      <c r="J46" s="253">
        <v>100</v>
      </c>
      <c r="K46" s="378" t="s">
        <v>683</v>
      </c>
      <c r="L46" s="375"/>
    </row>
    <row r="47" spans="1:12" ht="79.5" customHeight="1">
      <c r="A47" s="254" t="s">
        <v>110</v>
      </c>
      <c r="B47" s="254" t="s">
        <v>10</v>
      </c>
      <c r="C47" s="255">
        <v>4</v>
      </c>
      <c r="D47" s="259" t="s">
        <v>546</v>
      </c>
      <c r="E47" s="350" t="s">
        <v>523</v>
      </c>
      <c r="F47" s="252"/>
      <c r="G47" s="252"/>
      <c r="H47" s="253">
        <v>100</v>
      </c>
      <c r="I47" s="253">
        <v>88</v>
      </c>
      <c r="J47" s="253">
        <v>100</v>
      </c>
      <c r="K47" s="378" t="s">
        <v>684</v>
      </c>
      <c r="L47" s="375"/>
    </row>
    <row r="48" spans="1:12" ht="63">
      <c r="A48" s="249" t="s">
        <v>110</v>
      </c>
      <c r="B48" s="254" t="s">
        <v>10</v>
      </c>
      <c r="C48" s="250">
        <v>5</v>
      </c>
      <c r="D48" s="259" t="s">
        <v>547</v>
      </c>
      <c r="E48" s="350" t="s">
        <v>548</v>
      </c>
      <c r="F48" s="252"/>
      <c r="G48" s="252"/>
      <c r="H48" s="257" t="s">
        <v>549</v>
      </c>
      <c r="I48" s="257" t="s">
        <v>549</v>
      </c>
      <c r="J48" s="257">
        <v>15</v>
      </c>
      <c r="K48" s="388" t="s">
        <v>700</v>
      </c>
      <c r="L48" s="375"/>
    </row>
    <row r="49" spans="1:12" s="267" customFormat="1" ht="267.75">
      <c r="A49" s="406" t="s">
        <v>110</v>
      </c>
      <c r="B49" s="406" t="s">
        <v>10</v>
      </c>
      <c r="C49" s="407">
        <v>6</v>
      </c>
      <c r="D49" s="408" t="s">
        <v>550</v>
      </c>
      <c r="E49" s="409" t="s">
        <v>551</v>
      </c>
      <c r="F49" s="410"/>
      <c r="G49" s="410"/>
      <c r="H49" s="411">
        <v>178.5</v>
      </c>
      <c r="I49" s="257">
        <v>3.3</v>
      </c>
      <c r="J49" s="257">
        <v>37.5</v>
      </c>
      <c r="K49" s="388" t="s">
        <v>703</v>
      </c>
      <c r="L49" s="10" t="s">
        <v>699</v>
      </c>
    </row>
    <row r="50" spans="1:12" s="267" customFormat="1" ht="58.5" customHeight="1">
      <c r="A50" s="248" t="s">
        <v>110</v>
      </c>
      <c r="B50" s="248" t="s">
        <v>10</v>
      </c>
      <c r="C50" s="250">
        <v>7</v>
      </c>
      <c r="D50" s="412" t="s">
        <v>696</v>
      </c>
      <c r="E50" s="413" t="s">
        <v>697</v>
      </c>
      <c r="F50" s="414"/>
      <c r="G50" s="414"/>
      <c r="H50" s="415" t="s">
        <v>695</v>
      </c>
      <c r="I50" s="250">
        <v>1</v>
      </c>
      <c r="J50" s="250">
        <v>1</v>
      </c>
      <c r="K50" s="388" t="s">
        <v>700</v>
      </c>
      <c r="L50" s="505" t="s">
        <v>957</v>
      </c>
    </row>
    <row r="51" spans="1:12" s="267" customFormat="1" ht="257.25" customHeight="1">
      <c r="A51" s="248" t="s">
        <v>110</v>
      </c>
      <c r="B51" s="248" t="s">
        <v>10</v>
      </c>
      <c r="C51" s="250">
        <v>8</v>
      </c>
      <c r="D51" s="412" t="s">
        <v>698</v>
      </c>
      <c r="E51" s="413" t="s">
        <v>697</v>
      </c>
      <c r="F51" s="414"/>
      <c r="G51" s="414"/>
      <c r="H51" s="415" t="s">
        <v>695</v>
      </c>
      <c r="I51" s="250">
        <v>1</v>
      </c>
      <c r="J51" s="250">
        <v>1</v>
      </c>
      <c r="K51" s="388" t="s">
        <v>700</v>
      </c>
      <c r="L51" s="506"/>
    </row>
    <row r="52" spans="1:12" ht="21" customHeight="1">
      <c r="A52" s="626" t="s">
        <v>577</v>
      </c>
      <c r="B52" s="626"/>
      <c r="C52" s="626"/>
      <c r="D52" s="626"/>
      <c r="E52" s="626"/>
      <c r="F52" s="626"/>
      <c r="G52" s="626"/>
      <c r="H52" s="626"/>
      <c r="I52" s="626"/>
      <c r="J52" s="626"/>
    </row>
  </sheetData>
  <mergeCells count="27">
    <mergeCell ref="A52:J52"/>
    <mergeCell ref="A21:B22"/>
    <mergeCell ref="C21:C23"/>
    <mergeCell ref="D21:D23"/>
    <mergeCell ref="E21:E23"/>
    <mergeCell ref="H21:H23"/>
    <mergeCell ref="I22:I23"/>
    <mergeCell ref="J22:J23"/>
    <mergeCell ref="A28:L28"/>
    <mergeCell ref="A32:L32"/>
    <mergeCell ref="A35:L35"/>
    <mergeCell ref="A43:L43"/>
    <mergeCell ref="K21:K23"/>
    <mergeCell ref="L21:L23"/>
    <mergeCell ref="A24:L24"/>
    <mergeCell ref="I21:J21"/>
    <mergeCell ref="A19:H19"/>
    <mergeCell ref="A11:L11"/>
    <mergeCell ref="A12:L12"/>
    <mergeCell ref="A13:L13"/>
    <mergeCell ref="A15:L15"/>
    <mergeCell ref="A16:L16"/>
    <mergeCell ref="L50:L51"/>
    <mergeCell ref="K1:L1"/>
    <mergeCell ref="K2:L2"/>
    <mergeCell ref="K3:L3"/>
    <mergeCell ref="K4:L4"/>
  </mergeCells>
  <printOptions horizontalCentered="1"/>
  <pageMargins left="0.27559055118110237" right="0.11811023622047245" top="0.35433070866141736" bottom="0.11811023622047245" header="0.15748031496062992" footer="0.11811023622047245"/>
  <pageSetup paperSize="9" scale="54" fitToHeight="3" orientation="portrait" horizontalDpi="180" verticalDpi="180" r:id="rId1"/>
  <headerFooter differentFirst="1">
    <oddHeader>&amp;C&amp;P</oddHeader>
  </headerFooter>
  <legacyDrawing r:id="rId2"/>
</worksheet>
</file>

<file path=xl/worksheets/sheet6.xml><?xml version="1.0" encoding="utf-8"?>
<worksheet xmlns="http://schemas.openxmlformats.org/spreadsheetml/2006/main" xmlns:r="http://schemas.openxmlformats.org/officeDocument/2006/relationships">
  <sheetPr>
    <tabColor theme="0"/>
    <pageSetUpPr fitToPage="1"/>
  </sheetPr>
  <dimension ref="A1:P25"/>
  <sheetViews>
    <sheetView tabSelected="1" workbookViewId="0">
      <selection activeCell="I24" sqref="H24:I24"/>
    </sheetView>
  </sheetViews>
  <sheetFormatPr defaultColWidth="8.7109375" defaultRowHeight="12.75"/>
  <cols>
    <col min="1" max="1" width="8.28515625" style="302" customWidth="1"/>
    <col min="2" max="2" width="28.42578125" style="302" customWidth="1"/>
    <col min="3" max="3" width="15.85546875" style="302" customWidth="1"/>
    <col min="4" max="4" width="11" style="302" customWidth="1"/>
    <col min="5" max="5" width="52.28515625" style="302" customWidth="1"/>
    <col min="6" max="6" width="28.42578125" style="302" customWidth="1"/>
    <col min="7" max="16384" width="8.7109375" style="302"/>
  </cols>
  <sheetData>
    <row r="1" spans="1:16" ht="15.75">
      <c r="E1" s="313" t="s">
        <v>584</v>
      </c>
    </row>
    <row r="2" spans="1:16" ht="15.75">
      <c r="E2" s="313" t="s">
        <v>671</v>
      </c>
    </row>
    <row r="3" spans="1:16" ht="15.75">
      <c r="E3" s="313" t="s">
        <v>660</v>
      </c>
    </row>
    <row r="4" spans="1:16" ht="15.75">
      <c r="E4" s="313" t="s">
        <v>612</v>
      </c>
    </row>
    <row r="9" spans="1:16">
      <c r="E9" s="312" t="s">
        <v>604</v>
      </c>
    </row>
    <row r="10" spans="1:16">
      <c r="A10" s="308"/>
    </row>
    <row r="11" spans="1:16">
      <c r="A11" s="640" t="s">
        <v>603</v>
      </c>
      <c r="B11" s="640"/>
      <c r="C11" s="640"/>
      <c r="D11" s="640"/>
      <c r="E11" s="640"/>
    </row>
    <row r="12" spans="1:16">
      <c r="A12" s="641" t="s">
        <v>953</v>
      </c>
      <c r="B12" s="641"/>
      <c r="C12" s="641"/>
      <c r="D12" s="641"/>
      <c r="E12" s="641"/>
      <c r="F12" s="309"/>
      <c r="G12" s="309"/>
      <c r="H12" s="309"/>
      <c r="I12" s="309"/>
      <c r="J12" s="309"/>
      <c r="K12" s="309"/>
      <c r="L12" s="309"/>
      <c r="M12" s="309"/>
      <c r="N12" s="309"/>
      <c r="O12" s="309"/>
      <c r="P12" s="309"/>
    </row>
    <row r="13" spans="1:16">
      <c r="E13" s="311"/>
      <c r="F13" s="310"/>
    </row>
    <row r="14" spans="1:16">
      <c r="A14" s="642" t="s">
        <v>672</v>
      </c>
      <c r="B14" s="642"/>
      <c r="C14" s="642"/>
      <c r="D14" s="642"/>
      <c r="E14" s="642"/>
      <c r="F14" s="309"/>
      <c r="G14" s="309"/>
      <c r="H14" s="309"/>
      <c r="I14" s="309"/>
      <c r="J14" s="309"/>
      <c r="K14" s="309"/>
      <c r="L14" s="309"/>
      <c r="M14" s="309"/>
      <c r="N14" s="309"/>
      <c r="O14" s="309"/>
      <c r="P14" s="309"/>
    </row>
    <row r="15" spans="1:16">
      <c r="A15" s="351" t="s">
        <v>673</v>
      </c>
      <c r="B15" s="640"/>
      <c r="C15" s="640"/>
      <c r="D15" s="640"/>
      <c r="E15" s="640"/>
      <c r="F15" s="309"/>
      <c r="G15" s="309"/>
      <c r="H15" s="309"/>
      <c r="I15" s="309"/>
      <c r="J15" s="309"/>
      <c r="K15" s="309"/>
      <c r="L15" s="309"/>
      <c r="M15" s="309"/>
      <c r="N15" s="309"/>
      <c r="O15" s="309"/>
      <c r="P15" s="309"/>
    </row>
    <row r="16" spans="1:16">
      <c r="A16" s="643" t="s">
        <v>951</v>
      </c>
      <c r="B16" s="643"/>
      <c r="C16" s="643"/>
      <c r="D16" s="643"/>
      <c r="E16" s="643"/>
      <c r="F16" s="309"/>
      <c r="G16" s="309"/>
      <c r="H16" s="309"/>
      <c r="I16" s="309"/>
      <c r="J16" s="309"/>
      <c r="K16" s="309"/>
      <c r="L16" s="309"/>
      <c r="M16" s="309"/>
      <c r="N16" s="309"/>
      <c r="O16" s="309"/>
      <c r="P16" s="309"/>
    </row>
    <row r="17" spans="1:6">
      <c r="A17" s="308"/>
    </row>
    <row r="18" spans="1:6" ht="25.5">
      <c r="A18" s="307" t="s">
        <v>602</v>
      </c>
      <c r="B18" s="307" t="s">
        <v>601</v>
      </c>
      <c r="C18" s="307" t="s">
        <v>600</v>
      </c>
      <c r="D18" s="307" t="s">
        <v>599</v>
      </c>
      <c r="E18" s="307" t="s">
        <v>598</v>
      </c>
    </row>
    <row r="19" spans="1:6" hidden="1">
      <c r="A19" s="644">
        <v>1</v>
      </c>
      <c r="B19" s="647" t="s">
        <v>596</v>
      </c>
      <c r="C19" s="650">
        <v>42471</v>
      </c>
      <c r="D19" s="651">
        <v>144</v>
      </c>
      <c r="E19" s="651" t="s">
        <v>597</v>
      </c>
    </row>
    <row r="20" spans="1:6" hidden="1">
      <c r="A20" s="645"/>
      <c r="B20" s="648"/>
      <c r="C20" s="650"/>
      <c r="D20" s="651"/>
      <c r="E20" s="651"/>
    </row>
    <row r="21" spans="1:6" hidden="1">
      <c r="A21" s="646"/>
      <c r="B21" s="649"/>
      <c r="C21" s="650"/>
      <c r="D21" s="651"/>
      <c r="E21" s="651"/>
    </row>
    <row r="22" spans="1:6" ht="242.25" hidden="1">
      <c r="A22" s="306">
        <v>2</v>
      </c>
      <c r="B22" s="303" t="s">
        <v>596</v>
      </c>
      <c r="C22" s="305">
        <v>42674</v>
      </c>
      <c r="D22" s="304">
        <v>455</v>
      </c>
      <c r="E22" s="352" t="s">
        <v>674</v>
      </c>
      <c r="F22" s="310"/>
    </row>
    <row r="23" spans="1:6" ht="153">
      <c r="A23" s="306">
        <v>1</v>
      </c>
      <c r="B23" s="352" t="s">
        <v>596</v>
      </c>
      <c r="C23" s="305">
        <v>42821</v>
      </c>
      <c r="D23" s="304">
        <v>90</v>
      </c>
      <c r="E23" s="352" t="s">
        <v>675</v>
      </c>
    </row>
    <row r="24" spans="1:6" ht="340.5" customHeight="1">
      <c r="A24" s="306">
        <v>2</v>
      </c>
      <c r="B24" s="352" t="s">
        <v>596</v>
      </c>
      <c r="C24" s="305">
        <v>42933</v>
      </c>
      <c r="D24" s="304">
        <v>321</v>
      </c>
      <c r="E24" s="491" t="s">
        <v>949</v>
      </c>
    </row>
    <row r="25" spans="1:6" ht="27" customHeight="1">
      <c r="A25" s="640" t="s">
        <v>595</v>
      </c>
      <c r="B25" s="640"/>
      <c r="C25" s="640"/>
      <c r="D25" s="640"/>
      <c r="E25" s="640"/>
    </row>
  </sheetData>
  <mergeCells count="11">
    <mergeCell ref="A25:E25"/>
    <mergeCell ref="A12:E12"/>
    <mergeCell ref="A14:E14"/>
    <mergeCell ref="A16:E16"/>
    <mergeCell ref="A11:E11"/>
    <mergeCell ref="A19:A21"/>
    <mergeCell ref="B19:B21"/>
    <mergeCell ref="C19:C21"/>
    <mergeCell ref="D19:D21"/>
    <mergeCell ref="E19:E21"/>
    <mergeCell ref="B15:E15"/>
  </mergeCells>
  <pageMargins left="0.32" right="0.23622047244094491" top="0.3937007874015748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sheetPr>
    <tabColor theme="9" tint="0.39997558519241921"/>
    <pageSetUpPr fitToPage="1"/>
  </sheetPr>
  <dimension ref="A1:AL241"/>
  <sheetViews>
    <sheetView topLeftCell="A16" zoomScale="80" zoomScaleNormal="80" zoomScalePageLayoutView="80" workbookViewId="0">
      <pane xSplit="5" ySplit="3" topLeftCell="F22" activePane="bottomRight" state="frozen"/>
      <selection activeCell="A16" sqref="A16"/>
      <selection pane="topRight" activeCell="F16" sqref="F16"/>
      <selection pane="bottomLeft" activeCell="A19" sqref="A19"/>
      <selection pane="bottomRight" activeCell="M52" sqref="M52"/>
    </sheetView>
  </sheetViews>
  <sheetFormatPr defaultColWidth="9.140625" defaultRowHeight="15.75"/>
  <cols>
    <col min="1" max="1" width="5.7109375" style="26" customWidth="1"/>
    <col min="2" max="2" width="6" style="26" customWidth="1"/>
    <col min="3" max="3" width="6.5703125" style="26" customWidth="1"/>
    <col min="4" max="4" width="9.42578125" style="18" customWidth="1"/>
    <col min="5" max="5" width="46.42578125" style="43" customWidth="1"/>
    <col min="6" max="6" width="31.5703125" style="43" customWidth="1"/>
    <col min="7" max="7" width="9.140625" style="26"/>
    <col min="8" max="9" width="9.140625" style="26" customWidth="1"/>
    <col min="10" max="10" width="16.7109375" style="25" customWidth="1"/>
    <col min="11" max="11" width="9.140625" style="26"/>
    <col min="12" max="12" width="14.28515625" style="13" hidden="1" customWidth="1"/>
    <col min="13" max="13" width="13.5703125" style="19" bestFit="1" customWidth="1"/>
    <col min="14" max="14" width="14" style="26" hidden="1" customWidth="1"/>
    <col min="15" max="15" width="13.140625" style="26" hidden="1" customWidth="1"/>
    <col min="16" max="17" width="12.42578125" style="26" hidden="1" customWidth="1"/>
    <col min="18" max="18" width="16" style="26" hidden="1" customWidth="1"/>
    <col min="19" max="19" width="16.140625" style="26" hidden="1" customWidth="1"/>
    <col min="20" max="20" width="14.5703125" style="26" hidden="1" customWidth="1"/>
    <col min="21" max="21" width="15.140625" style="26" hidden="1" customWidth="1"/>
    <col min="22" max="31" width="0" style="26" hidden="1" customWidth="1"/>
    <col min="32" max="33" width="14.7109375" style="233" customWidth="1"/>
    <col min="34" max="34" width="11.5703125" style="233" customWidth="1"/>
    <col min="35" max="35" width="11.42578125" style="233" customWidth="1"/>
    <col min="36" max="36" width="13.7109375" style="233" customWidth="1"/>
    <col min="37" max="37" width="16.42578125" style="233" customWidth="1"/>
    <col min="38" max="38" width="15.28515625" style="26" customWidth="1"/>
    <col min="39" max="16384" width="9.140625" style="26"/>
  </cols>
  <sheetData>
    <row r="1" spans="1:38">
      <c r="N1" s="653" t="s">
        <v>502</v>
      </c>
      <c r="O1" s="653"/>
      <c r="P1" s="653"/>
      <c r="Q1" s="653"/>
    </row>
    <row r="2" spans="1:38" ht="49.5" customHeight="1">
      <c r="N2" s="653" t="s">
        <v>452</v>
      </c>
      <c r="O2" s="653"/>
      <c r="P2" s="653"/>
      <c r="Q2" s="653"/>
    </row>
    <row r="4" spans="1:38">
      <c r="A4" s="25"/>
      <c r="B4" s="25"/>
      <c r="C4" s="25"/>
      <c r="N4" s="654" t="s">
        <v>451</v>
      </c>
      <c r="O4" s="654"/>
      <c r="P4" s="654"/>
      <c r="Q4" s="654"/>
    </row>
    <row r="5" spans="1:38">
      <c r="A5" s="25"/>
      <c r="B5" s="25"/>
      <c r="C5" s="25"/>
      <c r="O5" s="20"/>
      <c r="P5" s="14"/>
      <c r="Q5" s="14"/>
    </row>
    <row r="6" spans="1:38" ht="53.25" customHeight="1">
      <c r="A6" s="25"/>
      <c r="B6" s="25"/>
      <c r="C6" s="25"/>
      <c r="N6" s="653" t="s">
        <v>179</v>
      </c>
      <c r="O6" s="653"/>
      <c r="P6" s="653"/>
      <c r="Q6" s="653"/>
    </row>
    <row r="7" spans="1:38">
      <c r="A7" s="25"/>
      <c r="B7" s="25"/>
      <c r="C7" s="25"/>
      <c r="E7" s="47"/>
      <c r="F7" s="47"/>
      <c r="G7" s="232"/>
      <c r="H7" s="232"/>
      <c r="I7" s="232"/>
      <c r="J7" s="27"/>
    </row>
    <row r="8" spans="1:38">
      <c r="A8" s="25"/>
      <c r="B8" s="25"/>
      <c r="C8" s="25"/>
      <c r="E8" s="47"/>
      <c r="F8" s="47"/>
      <c r="G8" s="232"/>
      <c r="H8" s="232"/>
      <c r="I8" s="232"/>
      <c r="J8" s="27"/>
    </row>
    <row r="9" spans="1:38" ht="15.75" customHeight="1">
      <c r="A9" s="655" t="s">
        <v>188</v>
      </c>
      <c r="B9" s="655"/>
      <c r="C9" s="655"/>
      <c r="D9" s="655"/>
      <c r="E9" s="655"/>
      <c r="F9" s="655"/>
      <c r="G9" s="655"/>
      <c r="H9" s="655"/>
      <c r="I9" s="655"/>
      <c r="J9" s="655"/>
      <c r="K9" s="655"/>
      <c r="L9" s="655"/>
      <c r="M9" s="655"/>
      <c r="N9" s="655"/>
      <c r="O9" s="655"/>
      <c r="P9" s="655"/>
      <c r="Q9" s="655"/>
    </row>
    <row r="10" spans="1:38">
      <c r="A10" s="25"/>
      <c r="B10" s="25"/>
      <c r="C10" s="25"/>
      <c r="E10" s="47"/>
      <c r="F10" s="47"/>
      <c r="G10" s="232"/>
      <c r="H10" s="232"/>
      <c r="I10" s="232"/>
      <c r="J10" s="27"/>
      <c r="K10" s="232"/>
    </row>
    <row r="11" spans="1:38" ht="15.75" customHeight="1">
      <c r="A11" s="21" t="s">
        <v>0</v>
      </c>
      <c r="B11" s="21"/>
      <c r="C11" s="21"/>
      <c r="D11" s="22"/>
      <c r="E11" s="230"/>
      <c r="F11" s="652" t="s">
        <v>180</v>
      </c>
      <c r="G11" s="652"/>
      <c r="H11" s="652"/>
      <c r="I11" s="652"/>
      <c r="J11" s="652"/>
      <c r="K11" s="652"/>
      <c r="L11" s="652"/>
      <c r="M11" s="652"/>
      <c r="N11" s="652"/>
      <c r="O11" s="652"/>
      <c r="P11" s="652"/>
      <c r="Q11" s="652"/>
    </row>
    <row r="12" spans="1:38" ht="15.75" customHeight="1">
      <c r="A12" s="25"/>
      <c r="B12" s="25"/>
      <c r="C12" s="25"/>
      <c r="F12" s="656" t="s">
        <v>1</v>
      </c>
      <c r="G12" s="656"/>
      <c r="H12" s="656"/>
      <c r="I12" s="656"/>
      <c r="J12" s="656"/>
      <c r="K12" s="656"/>
      <c r="L12" s="656"/>
      <c r="M12" s="656"/>
      <c r="N12" s="656"/>
      <c r="O12" s="656"/>
      <c r="P12" s="656"/>
      <c r="Q12" s="656"/>
    </row>
    <row r="13" spans="1:38" ht="15.75" customHeight="1">
      <c r="A13" s="534" t="s">
        <v>11</v>
      </c>
      <c r="B13" s="534"/>
      <c r="C13" s="534"/>
      <c r="D13" s="534"/>
      <c r="E13" s="534"/>
      <c r="F13" s="652" t="s">
        <v>111</v>
      </c>
      <c r="G13" s="652"/>
      <c r="H13" s="652"/>
      <c r="I13" s="652"/>
      <c r="J13" s="652"/>
      <c r="K13" s="652"/>
      <c r="L13" s="652"/>
      <c r="M13" s="652"/>
      <c r="N13" s="652"/>
      <c r="O13" s="652"/>
      <c r="P13" s="652"/>
      <c r="Q13" s="652"/>
    </row>
    <row r="14" spans="1:38" ht="15.75" customHeight="1">
      <c r="A14" s="25"/>
      <c r="B14" s="25"/>
      <c r="C14" s="25"/>
      <c r="E14" s="47"/>
      <c r="F14" s="656" t="s">
        <v>2</v>
      </c>
      <c r="G14" s="656"/>
      <c r="H14" s="656"/>
      <c r="I14" s="656"/>
      <c r="J14" s="656"/>
      <c r="K14" s="656"/>
      <c r="L14" s="656"/>
      <c r="M14" s="656"/>
      <c r="N14" s="656"/>
      <c r="O14" s="656"/>
      <c r="P14" s="656"/>
      <c r="Q14" s="656"/>
    </row>
    <row r="15" spans="1:38">
      <c r="A15" s="25"/>
      <c r="B15" s="25"/>
      <c r="C15" s="25"/>
      <c r="E15" s="47"/>
      <c r="F15" s="47"/>
      <c r="G15" s="9"/>
      <c r="H15" s="9"/>
      <c r="I15" s="9"/>
      <c r="J15" s="23"/>
      <c r="K15" s="9"/>
    </row>
    <row r="16" spans="1:38" ht="34.5" customHeight="1">
      <c r="A16" s="533" t="s">
        <v>3</v>
      </c>
      <c r="B16" s="533"/>
      <c r="C16" s="533"/>
      <c r="D16" s="533"/>
      <c r="E16" s="657" t="s">
        <v>41</v>
      </c>
      <c r="F16" s="659" t="s">
        <v>62</v>
      </c>
      <c r="G16" s="661" t="s">
        <v>42</v>
      </c>
      <c r="H16" s="661"/>
      <c r="I16" s="661"/>
      <c r="J16" s="662"/>
      <c r="K16" s="662"/>
      <c r="L16" s="663"/>
      <c r="M16" s="663"/>
      <c r="N16" s="663"/>
      <c r="O16" s="663"/>
      <c r="P16" s="663"/>
      <c r="Q16" s="663"/>
      <c r="AL16" s="241">
        <f>M19-AK19</f>
        <v>303447.65600000136</v>
      </c>
    </row>
    <row r="17" spans="1:38" ht="40.5" customHeight="1">
      <c r="A17" s="4" t="s">
        <v>4</v>
      </c>
      <c r="B17" s="4" t="s">
        <v>5</v>
      </c>
      <c r="C17" s="4" t="s">
        <v>12</v>
      </c>
      <c r="D17" s="11" t="s">
        <v>13</v>
      </c>
      <c r="E17" s="658"/>
      <c r="F17" s="660"/>
      <c r="G17" s="212" t="s">
        <v>43</v>
      </c>
      <c r="H17" s="212" t="s">
        <v>44</v>
      </c>
      <c r="I17" s="5" t="s">
        <v>45</v>
      </c>
      <c r="J17" s="5" t="s">
        <v>46</v>
      </c>
      <c r="K17" s="210" t="s">
        <v>47</v>
      </c>
      <c r="L17" s="231" t="s">
        <v>39</v>
      </c>
      <c r="M17" s="231" t="s">
        <v>83</v>
      </c>
      <c r="N17" s="231" t="s">
        <v>84</v>
      </c>
      <c r="O17" s="231" t="s">
        <v>85</v>
      </c>
      <c r="P17" s="231" t="s">
        <v>86</v>
      </c>
      <c r="Q17" s="231" t="s">
        <v>87</v>
      </c>
      <c r="AL17" s="26">
        <v>24921.9</v>
      </c>
    </row>
    <row r="18" spans="1:38" ht="15">
      <c r="A18" s="501" t="s">
        <v>110</v>
      </c>
      <c r="B18" s="509"/>
      <c r="C18" s="509"/>
      <c r="D18" s="511"/>
      <c r="E18" s="505" t="s">
        <v>498</v>
      </c>
      <c r="F18" s="1" t="s">
        <v>48</v>
      </c>
      <c r="G18" s="6"/>
      <c r="H18" s="6"/>
      <c r="I18" s="8"/>
      <c r="J18" s="8"/>
      <c r="K18" s="6"/>
      <c r="L18" s="30">
        <f>L19+L21+L20+L22+L23+L24</f>
        <v>7685015.4900000012</v>
      </c>
      <c r="M18" s="30">
        <f>M19+M21+M20+M22+M23+M24+M25</f>
        <v>7881252.216</v>
      </c>
      <c r="N18" s="30">
        <f>N19+N21+N20+N22</f>
        <v>6643075.2999999989</v>
      </c>
      <c r="O18" s="30">
        <f>O19+O21+O20+O22</f>
        <v>6975229.1100000003</v>
      </c>
      <c r="P18" s="30">
        <f>P19+P21+P20+P22</f>
        <v>7323990.5304999994</v>
      </c>
      <c r="Q18" s="30">
        <f>Q19+Q21+Q20+Q22-26.3</f>
        <v>7690190.0353750009</v>
      </c>
      <c r="S18" s="56"/>
    </row>
    <row r="19" spans="1:38" ht="38.25">
      <c r="A19" s="527"/>
      <c r="B19" s="510"/>
      <c r="C19" s="510"/>
      <c r="D19" s="512"/>
      <c r="E19" s="515"/>
      <c r="F19" s="1" t="s">
        <v>112</v>
      </c>
      <c r="G19" s="6">
        <v>843</v>
      </c>
      <c r="H19" s="6"/>
      <c r="I19" s="8"/>
      <c r="J19" s="8"/>
      <c r="K19" s="6"/>
      <c r="L19" s="30">
        <f t="shared" ref="L19:Q19" si="0">L27+L80+L129+L224</f>
        <v>7627379.5899999999</v>
      </c>
      <c r="M19" s="30">
        <f t="shared" si="0"/>
        <v>7782452.756000001</v>
      </c>
      <c r="N19" s="30">
        <f t="shared" si="0"/>
        <v>6604721.9999999991</v>
      </c>
      <c r="O19" s="30">
        <f t="shared" si="0"/>
        <v>6934958.1450000005</v>
      </c>
      <c r="P19" s="30">
        <f t="shared" si="0"/>
        <v>7281706.0172499996</v>
      </c>
      <c r="Q19" s="30">
        <f t="shared" si="0"/>
        <v>7645817.5964625003</v>
      </c>
      <c r="R19" s="111">
        <v>7627379.5999999996</v>
      </c>
      <c r="S19" s="112">
        <f>R19-L19</f>
        <v>9.9999997764825821E-3</v>
      </c>
      <c r="AF19" s="238"/>
      <c r="AG19" s="238">
        <f>AG27+AG80+AG129+AG224</f>
        <v>7116743.3999999994</v>
      </c>
      <c r="AH19" s="238">
        <f>AH27+AH80+AH129+AH224</f>
        <v>-2100</v>
      </c>
      <c r="AI19" s="238">
        <f>AI27+AI80+AI129+AI224</f>
        <v>5687.6999999999989</v>
      </c>
      <c r="AJ19" s="238">
        <f>AJ27+AJ80+AJ129+AJ224</f>
        <v>358674</v>
      </c>
      <c r="AK19" s="238">
        <f>AK27+AK80+AK129+AK224</f>
        <v>7479005.0999999996</v>
      </c>
      <c r="AL19" s="241">
        <f>AK19-M18</f>
        <v>-402247.11600000039</v>
      </c>
    </row>
    <row r="20" spans="1:38" ht="25.5">
      <c r="A20" s="527"/>
      <c r="B20" s="510"/>
      <c r="C20" s="510"/>
      <c r="D20" s="512"/>
      <c r="E20" s="515"/>
      <c r="F20" s="1" t="s">
        <v>120</v>
      </c>
      <c r="G20" s="6">
        <v>855</v>
      </c>
      <c r="H20" s="6"/>
      <c r="I20" s="8"/>
      <c r="J20" s="8"/>
      <c r="K20" s="6"/>
      <c r="L20" s="30">
        <f>L81+L132</f>
        <v>32124.400000000001</v>
      </c>
      <c r="M20" s="30">
        <f>M81+M132</f>
        <v>63605.71</v>
      </c>
      <c r="N20" s="30">
        <f>N81</f>
        <v>38353.300000000003</v>
      </c>
      <c r="O20" s="30">
        <f>O81</f>
        <v>40270.965000000004</v>
      </c>
      <c r="P20" s="30">
        <f>P81</f>
        <v>42284.513250000004</v>
      </c>
      <c r="Q20" s="30">
        <f>Q81</f>
        <v>44398.738912500005</v>
      </c>
      <c r="R20" s="56"/>
      <c r="S20" s="56"/>
    </row>
    <row r="21" spans="1:38" ht="38.25">
      <c r="A21" s="527"/>
      <c r="B21" s="510"/>
      <c r="C21" s="510"/>
      <c r="D21" s="512"/>
      <c r="E21" s="515"/>
      <c r="F21" s="1" t="s">
        <v>172</v>
      </c>
      <c r="G21" s="6">
        <v>835</v>
      </c>
      <c r="H21" s="6"/>
      <c r="I21" s="8"/>
      <c r="J21" s="8"/>
      <c r="K21" s="6"/>
      <c r="L21" s="30">
        <f t="shared" ref="L21:Q21" si="1">L82+L130</f>
        <v>7351.4000000000005</v>
      </c>
      <c r="M21" s="30">
        <f t="shared" si="1"/>
        <v>1417.71</v>
      </c>
      <c r="N21" s="30">
        <f t="shared" si="1"/>
        <v>0</v>
      </c>
      <c r="O21" s="30">
        <f t="shared" si="1"/>
        <v>0</v>
      </c>
      <c r="P21" s="30">
        <f t="shared" si="1"/>
        <v>0</v>
      </c>
      <c r="Q21" s="30">
        <f t="shared" si="1"/>
        <v>0</v>
      </c>
      <c r="AL21" s="241">
        <f>AL19+AL17+M50+M52</f>
        <v>-4202.1160000003656</v>
      </c>
    </row>
    <row r="22" spans="1:38" ht="25.5">
      <c r="A22" s="527"/>
      <c r="B22" s="510"/>
      <c r="C22" s="510"/>
      <c r="D22" s="512"/>
      <c r="E22" s="515"/>
      <c r="F22" s="1" t="s">
        <v>187</v>
      </c>
      <c r="G22" s="6">
        <v>874</v>
      </c>
      <c r="H22" s="48"/>
      <c r="I22" s="48"/>
      <c r="J22" s="48"/>
      <c r="K22" s="48"/>
      <c r="L22" s="30">
        <f>L209+L210</f>
        <v>5000</v>
      </c>
      <c r="M22" s="30">
        <f>M209+M134</f>
        <v>12718.6</v>
      </c>
      <c r="N22" s="30">
        <f>N209</f>
        <v>0</v>
      </c>
      <c r="O22" s="30">
        <f>O209</f>
        <v>0</v>
      </c>
      <c r="P22" s="30">
        <f>P209</f>
        <v>0</v>
      </c>
      <c r="Q22" s="30">
        <f>Q209</f>
        <v>0</v>
      </c>
    </row>
    <row r="23" spans="1:38" ht="51">
      <c r="A23" s="527"/>
      <c r="B23" s="510"/>
      <c r="C23" s="510"/>
      <c r="D23" s="512"/>
      <c r="E23" s="515"/>
      <c r="F23" s="10" t="s">
        <v>456</v>
      </c>
      <c r="G23" s="6">
        <v>847</v>
      </c>
      <c r="H23" s="48"/>
      <c r="I23" s="48"/>
      <c r="J23" s="48"/>
      <c r="K23" s="48"/>
      <c r="L23" s="30">
        <f>L131</f>
        <v>6622.2</v>
      </c>
      <c r="M23" s="30">
        <f>M131</f>
        <v>5737.7099999999991</v>
      </c>
      <c r="N23" s="30">
        <v>0</v>
      </c>
      <c r="O23" s="30">
        <v>0</v>
      </c>
      <c r="P23" s="30">
        <v>0</v>
      </c>
      <c r="Q23" s="30">
        <v>0</v>
      </c>
    </row>
    <row r="24" spans="1:38" ht="25.5">
      <c r="A24" s="527"/>
      <c r="B24" s="510"/>
      <c r="C24" s="510"/>
      <c r="D24" s="512"/>
      <c r="E24" s="515"/>
      <c r="F24" s="46" t="s">
        <v>459</v>
      </c>
      <c r="G24" s="6">
        <v>857</v>
      </c>
      <c r="H24" s="48"/>
      <c r="I24" s="48"/>
      <c r="J24" s="48"/>
      <c r="K24" s="48"/>
      <c r="L24" s="30">
        <f>L133</f>
        <v>6537.9</v>
      </c>
      <c r="M24" s="30">
        <f>M133</f>
        <v>7640.2200000000012</v>
      </c>
      <c r="N24" s="30">
        <v>0</v>
      </c>
      <c r="O24" s="30">
        <v>0</v>
      </c>
      <c r="P24" s="30">
        <v>0</v>
      </c>
      <c r="Q24" s="30">
        <v>0</v>
      </c>
    </row>
    <row r="25" spans="1:38" ht="36" customHeight="1">
      <c r="A25" s="527"/>
      <c r="B25" s="510"/>
      <c r="C25" s="510"/>
      <c r="D25" s="512"/>
      <c r="E25" s="515"/>
      <c r="F25" s="216" t="s">
        <v>501</v>
      </c>
      <c r="G25" s="6">
        <v>845</v>
      </c>
      <c r="H25" s="48"/>
      <c r="I25" s="48"/>
      <c r="J25" s="48"/>
      <c r="K25" s="48"/>
      <c r="L25" s="30">
        <v>0</v>
      </c>
      <c r="M25" s="30">
        <f>M163+M164</f>
        <v>7679.51</v>
      </c>
      <c r="N25" s="30">
        <v>0</v>
      </c>
      <c r="O25" s="30">
        <v>0</v>
      </c>
      <c r="P25" s="30">
        <v>0</v>
      </c>
      <c r="Q25" s="30">
        <v>0</v>
      </c>
    </row>
    <row r="26" spans="1:38" ht="15" customHeight="1">
      <c r="A26" s="501" t="s">
        <v>110</v>
      </c>
      <c r="B26" s="501" t="s">
        <v>7</v>
      </c>
      <c r="C26" s="501"/>
      <c r="D26" s="503"/>
      <c r="E26" s="505" t="s">
        <v>60</v>
      </c>
      <c r="F26" s="1" t="s">
        <v>48</v>
      </c>
      <c r="G26" s="6" t="s">
        <v>49</v>
      </c>
      <c r="H26" s="6"/>
      <c r="I26" s="8"/>
      <c r="J26" s="8"/>
      <c r="K26" s="6"/>
      <c r="L26" s="30">
        <f t="shared" ref="L26:Q26" si="2">L27</f>
        <v>3796137.6</v>
      </c>
      <c r="M26" s="30">
        <f t="shared" si="2"/>
        <v>4035233.9000000004</v>
      </c>
      <c r="N26" s="30">
        <f t="shared" si="2"/>
        <v>3619828.6999999997</v>
      </c>
      <c r="O26" s="30">
        <f t="shared" si="2"/>
        <v>3800820.13</v>
      </c>
      <c r="P26" s="30">
        <f t="shared" si="2"/>
        <v>3990861.1414999999</v>
      </c>
      <c r="Q26" s="30">
        <f t="shared" si="2"/>
        <v>4190404.1988375001</v>
      </c>
    </row>
    <row r="27" spans="1:38" ht="38.25">
      <c r="A27" s="502"/>
      <c r="B27" s="502"/>
      <c r="C27" s="502"/>
      <c r="D27" s="504"/>
      <c r="E27" s="506"/>
      <c r="F27" s="1" t="s">
        <v>112</v>
      </c>
      <c r="G27" s="6">
        <v>843</v>
      </c>
      <c r="H27" s="6">
        <v>10</v>
      </c>
      <c r="I27" s="8" t="s">
        <v>8</v>
      </c>
      <c r="J27" s="8" t="s">
        <v>195</v>
      </c>
      <c r="K27" s="211"/>
      <c r="L27" s="30">
        <f>L28+L48+L50+L52+L54</f>
        <v>3796137.6</v>
      </c>
      <c r="M27" s="30">
        <f>M28+M48+M50+M52+M54+M75+M76+M77+M78</f>
        <v>4035233.9000000004</v>
      </c>
      <c r="N27" s="30">
        <f>N28+N48+N50+N52+N54+N75+N76+N77+N78</f>
        <v>3619828.6999999997</v>
      </c>
      <c r="O27" s="30">
        <f>O28+O48+O50+O52+O54+O75+O76+O77+O78</f>
        <v>3800820.13</v>
      </c>
      <c r="P27" s="30">
        <f>P28+P48+P50+P52+P54+P75+P76+P77+P78</f>
        <v>3990861.1414999999</v>
      </c>
      <c r="Q27" s="30">
        <f>Q28+Q48+Q50+Q52+Q54+Q75+Q76+Q77+Q78</f>
        <v>4190404.1988375001</v>
      </c>
      <c r="R27" s="36"/>
      <c r="AF27" s="238"/>
      <c r="AG27" s="238">
        <f>AG28+AG48+AG50+AG52+AG54</f>
        <v>3585058.1999999997</v>
      </c>
      <c r="AH27" s="238">
        <f>AH28+AH48+AH50+AH52+AH54</f>
        <v>-5000</v>
      </c>
      <c r="AI27" s="238">
        <f>AI28+AI48+AI50+AI52+AI54</f>
        <v>-14.7</v>
      </c>
      <c r="AJ27" s="238">
        <f>AJ28+AJ48+AJ50+AJ52+AJ54</f>
        <v>80865.2</v>
      </c>
      <c r="AK27" s="238">
        <f>AK28+AK48+AK50+AK52+AK54</f>
        <v>3660908.6999999997</v>
      </c>
      <c r="AL27" s="26">
        <v>3660908.7</v>
      </c>
    </row>
    <row r="28" spans="1:38" ht="51">
      <c r="A28" s="214" t="s">
        <v>110</v>
      </c>
      <c r="B28" s="214" t="s">
        <v>7</v>
      </c>
      <c r="C28" s="214" t="s">
        <v>7</v>
      </c>
      <c r="D28" s="214"/>
      <c r="E28" s="55" t="s">
        <v>194</v>
      </c>
      <c r="F28" s="1" t="s">
        <v>112</v>
      </c>
      <c r="G28" s="6">
        <v>843</v>
      </c>
      <c r="H28" s="211">
        <v>10</v>
      </c>
      <c r="I28" s="7" t="s">
        <v>8</v>
      </c>
      <c r="J28" s="7" t="s">
        <v>488</v>
      </c>
      <c r="K28" s="211" t="s">
        <v>471</v>
      </c>
      <c r="L28" s="30">
        <f>L29+L30+L31+L32+L33+L34+L35+L36+L37+L38+L39+L40+L41+L42+L43+L44+L45+L46+L47+L68+L69+L70+L71+L72+L73+L74</f>
        <v>3382383.4000000004</v>
      </c>
      <c r="M28" s="30">
        <v>3652857.7</v>
      </c>
      <c r="N28" s="30">
        <f>N29+N30+N31+N32+N33+N34+N35+N36+N37+N38+N39+N40+N41+N42+N43+N44+N45+N46+N47+N68+N69+N70+N71+N72+N73+N74</f>
        <v>3601436.0999999996</v>
      </c>
      <c r="O28" s="30">
        <v>3781507.9</v>
      </c>
      <c r="P28" s="30">
        <v>3970583.3</v>
      </c>
      <c r="Q28" s="30">
        <f>Q29+Q30+Q31+Q32+Q33+Q34+Q35+Q36+Q37+Q38+Q39+Q40+Q41+Q42+Q43+Q44+Q45+Q46+Q47+Q68+Q69+Q70+Q71+Q72+Q73+Q74</f>
        <v>4169112.4652625001</v>
      </c>
      <c r="R28" s="56"/>
      <c r="AF28" s="233">
        <v>3564097.4</v>
      </c>
      <c r="AG28" s="233">
        <v>3569097.4</v>
      </c>
      <c r="AH28" s="233">
        <v>-5000</v>
      </c>
      <c r="AI28" s="233">
        <v>-14.7</v>
      </c>
      <c r="AJ28" s="233">
        <v>87900</v>
      </c>
      <c r="AK28" s="233">
        <f>AG28+AH28+AI28+AJ28</f>
        <v>3651982.6999999997</v>
      </c>
    </row>
    <row r="29" spans="1:38" s="195" customFormat="1" ht="38.25" hidden="1" customHeight="1">
      <c r="A29" s="189" t="s">
        <v>110</v>
      </c>
      <c r="B29" s="189" t="s">
        <v>7</v>
      </c>
      <c r="C29" s="189" t="s">
        <v>7</v>
      </c>
      <c r="D29" s="190" t="s">
        <v>7</v>
      </c>
      <c r="E29" s="200" t="s">
        <v>193</v>
      </c>
      <c r="F29" s="192" t="s">
        <v>112</v>
      </c>
      <c r="G29" s="201">
        <v>843</v>
      </c>
      <c r="H29" s="202">
        <v>10</v>
      </c>
      <c r="I29" s="203" t="s">
        <v>9</v>
      </c>
      <c r="J29" s="197" t="s">
        <v>196</v>
      </c>
      <c r="K29" s="193" t="s">
        <v>370</v>
      </c>
      <c r="L29" s="194">
        <v>566382</v>
      </c>
      <c r="M29" s="204">
        <v>620409.69999999995</v>
      </c>
      <c r="N29" s="194">
        <v>574408.19999999995</v>
      </c>
      <c r="O29" s="194">
        <f t="shared" ref="O29:P44" si="3">N29*1.05</f>
        <v>603128.61</v>
      </c>
      <c r="P29" s="194">
        <f t="shared" si="3"/>
        <v>633285.0405</v>
      </c>
      <c r="Q29" s="194">
        <f>P29*1.05</f>
        <v>664949.29252500006</v>
      </c>
      <c r="AF29" s="234"/>
      <c r="AG29" s="234"/>
      <c r="AH29" s="234"/>
      <c r="AI29" s="234"/>
      <c r="AJ29" s="234"/>
      <c r="AK29" s="233">
        <f t="shared" ref="AK29:AK92" si="4">AG29+AH29+AI29+AJ29</f>
        <v>0</v>
      </c>
    </row>
    <row r="30" spans="1:38" s="195" customFormat="1" ht="38.25" hidden="1" customHeight="1">
      <c r="A30" s="189" t="s">
        <v>110</v>
      </c>
      <c r="B30" s="189" t="s">
        <v>7</v>
      </c>
      <c r="C30" s="189" t="s">
        <v>7</v>
      </c>
      <c r="D30" s="190" t="s">
        <v>8</v>
      </c>
      <c r="E30" s="200" t="s">
        <v>197</v>
      </c>
      <c r="F30" s="192" t="s">
        <v>112</v>
      </c>
      <c r="G30" s="201">
        <v>843</v>
      </c>
      <c r="H30" s="202">
        <v>10</v>
      </c>
      <c r="I30" s="203" t="s">
        <v>9</v>
      </c>
      <c r="J30" s="197" t="s">
        <v>198</v>
      </c>
      <c r="K30" s="193" t="s">
        <v>370</v>
      </c>
      <c r="L30" s="194">
        <v>87560.5</v>
      </c>
      <c r="M30" s="204">
        <f>82513.5-525.6</f>
        <v>81987.899999999994</v>
      </c>
      <c r="N30" s="194">
        <v>91931.9</v>
      </c>
      <c r="O30" s="194">
        <f t="shared" si="3"/>
        <v>96528.494999999995</v>
      </c>
      <c r="P30" s="194">
        <f>O30*1.05</f>
        <v>101354.91975</v>
      </c>
      <c r="Q30" s="194">
        <f>P30*1.05</f>
        <v>106422.66573750001</v>
      </c>
      <c r="AF30" s="234"/>
      <c r="AG30" s="234"/>
      <c r="AH30" s="234"/>
      <c r="AI30" s="234"/>
      <c r="AJ30" s="234"/>
      <c r="AK30" s="233">
        <f t="shared" si="4"/>
        <v>0</v>
      </c>
    </row>
    <row r="31" spans="1:38" s="195" customFormat="1" ht="38.25" hidden="1" customHeight="1">
      <c r="A31" s="189" t="s">
        <v>110</v>
      </c>
      <c r="B31" s="189" t="s">
        <v>7</v>
      </c>
      <c r="C31" s="189" t="s">
        <v>7</v>
      </c>
      <c r="D31" s="190" t="s">
        <v>9</v>
      </c>
      <c r="E31" s="200" t="s">
        <v>199</v>
      </c>
      <c r="F31" s="192" t="s">
        <v>112</v>
      </c>
      <c r="G31" s="201">
        <v>843</v>
      </c>
      <c r="H31" s="202">
        <v>10</v>
      </c>
      <c r="I31" s="203" t="s">
        <v>9</v>
      </c>
      <c r="J31" s="197" t="s">
        <v>200</v>
      </c>
      <c r="K31" s="193" t="s">
        <v>370</v>
      </c>
      <c r="L31" s="194">
        <v>8763.9</v>
      </c>
      <c r="M31" s="204">
        <f>9141.1-125</f>
        <v>9016.1</v>
      </c>
      <c r="N31" s="194">
        <v>9154.7000000000007</v>
      </c>
      <c r="O31" s="194">
        <f>N31*1.05</f>
        <v>9612.4350000000013</v>
      </c>
      <c r="P31" s="194">
        <f>O31*1.05</f>
        <v>10093.056750000002</v>
      </c>
      <c r="Q31" s="194">
        <f t="shared" ref="Q31:Q93" si="5">P31*1.05</f>
        <v>10597.709587500001</v>
      </c>
      <c r="AF31" s="234"/>
      <c r="AG31" s="234"/>
      <c r="AH31" s="234"/>
      <c r="AI31" s="234"/>
      <c r="AJ31" s="234"/>
      <c r="AK31" s="233">
        <f t="shared" si="4"/>
        <v>0</v>
      </c>
    </row>
    <row r="32" spans="1:38" s="195" customFormat="1" ht="38.25" hidden="1" customHeight="1">
      <c r="A32" s="189" t="s">
        <v>110</v>
      </c>
      <c r="B32" s="189" t="s">
        <v>7</v>
      </c>
      <c r="C32" s="189" t="s">
        <v>7</v>
      </c>
      <c r="D32" s="190" t="s">
        <v>10</v>
      </c>
      <c r="E32" s="200" t="s">
        <v>201</v>
      </c>
      <c r="F32" s="192" t="s">
        <v>112</v>
      </c>
      <c r="G32" s="201">
        <v>843</v>
      </c>
      <c r="H32" s="202">
        <v>10</v>
      </c>
      <c r="I32" s="203" t="s">
        <v>9</v>
      </c>
      <c r="J32" s="197" t="s">
        <v>202</v>
      </c>
      <c r="K32" s="193" t="s">
        <v>370</v>
      </c>
      <c r="L32" s="194">
        <v>1275749</v>
      </c>
      <c r="M32" s="204">
        <v>1385488.9</v>
      </c>
      <c r="N32" s="194">
        <v>1268809.8999999999</v>
      </c>
      <c r="O32" s="194">
        <f>N32*1.05</f>
        <v>1332250.395</v>
      </c>
      <c r="P32" s="194">
        <f>O32*1.05</f>
        <v>1398862.91475</v>
      </c>
      <c r="Q32" s="194">
        <f t="shared" si="5"/>
        <v>1468806.0604875002</v>
      </c>
      <c r="AF32" s="234"/>
      <c r="AG32" s="234"/>
      <c r="AH32" s="234"/>
      <c r="AI32" s="234"/>
      <c r="AJ32" s="234"/>
      <c r="AK32" s="233">
        <f t="shared" si="4"/>
        <v>0</v>
      </c>
    </row>
    <row r="33" spans="1:37" s="195" customFormat="1" ht="38.25" hidden="1" customHeight="1">
      <c r="A33" s="189" t="s">
        <v>110</v>
      </c>
      <c r="B33" s="189" t="s">
        <v>7</v>
      </c>
      <c r="C33" s="189" t="s">
        <v>7</v>
      </c>
      <c r="D33" s="190" t="s">
        <v>33</v>
      </c>
      <c r="E33" s="200" t="s">
        <v>203</v>
      </c>
      <c r="F33" s="192" t="s">
        <v>112</v>
      </c>
      <c r="G33" s="201">
        <v>843</v>
      </c>
      <c r="H33" s="202">
        <v>10</v>
      </c>
      <c r="I33" s="203" t="s">
        <v>9</v>
      </c>
      <c r="J33" s="197" t="s">
        <v>204</v>
      </c>
      <c r="K33" s="193" t="s">
        <v>370</v>
      </c>
      <c r="L33" s="194">
        <v>12016.2</v>
      </c>
      <c r="M33" s="204">
        <f>14724.6-535.5</f>
        <v>14189.1</v>
      </c>
      <c r="N33" s="194">
        <v>13546.3</v>
      </c>
      <c r="O33" s="194">
        <f t="shared" si="3"/>
        <v>14223.615</v>
      </c>
      <c r="P33" s="194">
        <f t="shared" si="3"/>
        <v>14934.795750000001</v>
      </c>
      <c r="Q33" s="194">
        <f t="shared" si="5"/>
        <v>15681.535537500002</v>
      </c>
      <c r="AF33" s="234"/>
      <c r="AG33" s="234"/>
      <c r="AH33" s="234"/>
      <c r="AI33" s="234"/>
      <c r="AJ33" s="234"/>
      <c r="AK33" s="233">
        <f t="shared" si="4"/>
        <v>0</v>
      </c>
    </row>
    <row r="34" spans="1:37" ht="38.25" hidden="1" customHeight="1">
      <c r="A34" s="225" t="s">
        <v>110</v>
      </c>
      <c r="B34" s="225" t="s">
        <v>7</v>
      </c>
      <c r="C34" s="225" t="s">
        <v>7</v>
      </c>
      <c r="D34" s="8" t="s">
        <v>25</v>
      </c>
      <c r="E34" s="226" t="s">
        <v>206</v>
      </c>
      <c r="F34" s="1" t="s">
        <v>112</v>
      </c>
      <c r="G34" s="6">
        <v>843</v>
      </c>
      <c r="H34" s="211">
        <v>10</v>
      </c>
      <c r="I34" s="7" t="s">
        <v>9</v>
      </c>
      <c r="J34" s="7" t="s">
        <v>205</v>
      </c>
      <c r="K34" s="211" t="s">
        <v>371</v>
      </c>
      <c r="L34" s="30">
        <v>1218646.2</v>
      </c>
      <c r="M34" s="205">
        <v>1186824.3999999999</v>
      </c>
      <c r="N34" s="30">
        <f>17000+6000+1337215.2</f>
        <v>1360215.2</v>
      </c>
      <c r="O34" s="30">
        <f t="shared" si="3"/>
        <v>1428225.96</v>
      </c>
      <c r="P34" s="30">
        <f t="shared" si="3"/>
        <v>1499637.2579999999</v>
      </c>
      <c r="Q34" s="30">
        <f t="shared" si="5"/>
        <v>1574619.1209</v>
      </c>
      <c r="AK34" s="233">
        <f t="shared" si="4"/>
        <v>0</v>
      </c>
    </row>
    <row r="35" spans="1:37" ht="38.25" hidden="1" customHeight="1">
      <c r="A35" s="225" t="s">
        <v>110</v>
      </c>
      <c r="B35" s="225" t="s">
        <v>7</v>
      </c>
      <c r="C35" s="225" t="s">
        <v>7</v>
      </c>
      <c r="D35" s="8" t="s">
        <v>6</v>
      </c>
      <c r="E35" s="226" t="s">
        <v>207</v>
      </c>
      <c r="F35" s="1" t="s">
        <v>112</v>
      </c>
      <c r="G35" s="6">
        <v>843</v>
      </c>
      <c r="H35" s="211">
        <v>10</v>
      </c>
      <c r="I35" s="7" t="s">
        <v>9</v>
      </c>
      <c r="J35" s="7" t="s">
        <v>208</v>
      </c>
      <c r="K35" s="211" t="s">
        <v>370</v>
      </c>
      <c r="L35" s="30">
        <v>52797.4</v>
      </c>
      <c r="M35" s="187">
        <v>53070.2</v>
      </c>
      <c r="N35" s="30">
        <v>59351.1</v>
      </c>
      <c r="O35" s="30">
        <f t="shared" si="3"/>
        <v>62318.654999999999</v>
      </c>
      <c r="P35" s="30">
        <f t="shared" si="3"/>
        <v>65434.587749999999</v>
      </c>
      <c r="Q35" s="30">
        <f t="shared" si="5"/>
        <v>68706.317137499995</v>
      </c>
      <c r="AK35" s="233">
        <f t="shared" si="4"/>
        <v>0</v>
      </c>
    </row>
    <row r="36" spans="1:37" s="195" customFormat="1" ht="38.25" hidden="1" customHeight="1">
      <c r="A36" s="189" t="s">
        <v>110</v>
      </c>
      <c r="B36" s="189" t="s">
        <v>7</v>
      </c>
      <c r="C36" s="189" t="s">
        <v>7</v>
      </c>
      <c r="D36" s="190" t="s">
        <v>34</v>
      </c>
      <c r="E36" s="200" t="s">
        <v>209</v>
      </c>
      <c r="F36" s="192" t="s">
        <v>112</v>
      </c>
      <c r="G36" s="201">
        <v>843</v>
      </c>
      <c r="H36" s="202">
        <v>10</v>
      </c>
      <c r="I36" s="203" t="s">
        <v>9</v>
      </c>
      <c r="J36" s="197" t="s">
        <v>210</v>
      </c>
      <c r="K36" s="193">
        <v>320</v>
      </c>
      <c r="L36" s="194"/>
      <c r="M36" s="204">
        <v>10000</v>
      </c>
      <c r="N36" s="194">
        <v>64435.5</v>
      </c>
      <c r="O36" s="194">
        <f t="shared" si="3"/>
        <v>67657.275000000009</v>
      </c>
      <c r="P36" s="194">
        <f t="shared" si="3"/>
        <v>71040.138750000013</v>
      </c>
      <c r="Q36" s="194">
        <f t="shared" si="5"/>
        <v>74592.145687500015</v>
      </c>
      <c r="AF36" s="234"/>
      <c r="AG36" s="234"/>
      <c r="AH36" s="234"/>
      <c r="AI36" s="234"/>
      <c r="AJ36" s="234"/>
      <c r="AK36" s="233">
        <f t="shared" si="4"/>
        <v>0</v>
      </c>
    </row>
    <row r="37" spans="1:37" s="195" customFormat="1" ht="38.25" hidden="1" customHeight="1">
      <c r="A37" s="189" t="s">
        <v>110</v>
      </c>
      <c r="B37" s="189" t="s">
        <v>7</v>
      </c>
      <c r="C37" s="189" t="s">
        <v>7</v>
      </c>
      <c r="D37" s="190" t="s">
        <v>35</v>
      </c>
      <c r="E37" s="200" t="s">
        <v>211</v>
      </c>
      <c r="F37" s="192" t="s">
        <v>112</v>
      </c>
      <c r="G37" s="201">
        <v>843</v>
      </c>
      <c r="H37" s="202">
        <v>10</v>
      </c>
      <c r="I37" s="203" t="s">
        <v>9</v>
      </c>
      <c r="J37" s="197" t="s">
        <v>212</v>
      </c>
      <c r="K37" s="193">
        <v>310</v>
      </c>
      <c r="L37" s="194">
        <v>6127.1</v>
      </c>
      <c r="M37" s="204">
        <v>7758</v>
      </c>
      <c r="N37" s="194">
        <v>7750.2</v>
      </c>
      <c r="O37" s="194">
        <f t="shared" si="3"/>
        <v>8137.71</v>
      </c>
      <c r="P37" s="194">
        <f t="shared" si="3"/>
        <v>8544.5955000000013</v>
      </c>
      <c r="Q37" s="194">
        <f t="shared" si="5"/>
        <v>8971.8252750000011</v>
      </c>
      <c r="AF37" s="234"/>
      <c r="AG37" s="234"/>
      <c r="AH37" s="234"/>
      <c r="AI37" s="234"/>
      <c r="AJ37" s="234"/>
      <c r="AK37" s="233">
        <f t="shared" si="4"/>
        <v>0</v>
      </c>
    </row>
    <row r="38" spans="1:37" s="195" customFormat="1" ht="38.25" hidden="1" customHeight="1">
      <c r="A38" s="189" t="s">
        <v>110</v>
      </c>
      <c r="B38" s="189" t="s">
        <v>7</v>
      </c>
      <c r="C38" s="189" t="s">
        <v>7</v>
      </c>
      <c r="D38" s="190" t="s">
        <v>51</v>
      </c>
      <c r="E38" s="200" t="s">
        <v>213</v>
      </c>
      <c r="F38" s="192" t="s">
        <v>112</v>
      </c>
      <c r="G38" s="201">
        <v>843</v>
      </c>
      <c r="H38" s="202">
        <v>10</v>
      </c>
      <c r="I38" s="203" t="s">
        <v>9</v>
      </c>
      <c r="J38" s="197" t="s">
        <v>214</v>
      </c>
      <c r="K38" s="193" t="s">
        <v>370</v>
      </c>
      <c r="L38" s="194"/>
      <c r="M38" s="204">
        <f>23051.2-5618</f>
        <v>17433.2</v>
      </c>
      <c r="N38" s="194">
        <v>19453.400000000001</v>
      </c>
      <c r="O38" s="194">
        <f t="shared" si="3"/>
        <v>20426.070000000003</v>
      </c>
      <c r="P38" s="194">
        <f t="shared" si="3"/>
        <v>21447.373500000005</v>
      </c>
      <c r="Q38" s="194">
        <f t="shared" si="5"/>
        <v>22519.742175000007</v>
      </c>
      <c r="AF38" s="234"/>
      <c r="AG38" s="234"/>
      <c r="AH38" s="234"/>
      <c r="AI38" s="234"/>
      <c r="AJ38" s="234"/>
      <c r="AK38" s="233">
        <f t="shared" si="4"/>
        <v>0</v>
      </c>
    </row>
    <row r="39" spans="1:37" s="195" customFormat="1" ht="38.25" hidden="1" customHeight="1">
      <c r="A39" s="189" t="s">
        <v>110</v>
      </c>
      <c r="B39" s="189" t="s">
        <v>7</v>
      </c>
      <c r="C39" s="189" t="s">
        <v>7</v>
      </c>
      <c r="D39" s="190" t="s">
        <v>68</v>
      </c>
      <c r="E39" s="200" t="s">
        <v>216</v>
      </c>
      <c r="F39" s="192" t="s">
        <v>112</v>
      </c>
      <c r="G39" s="201">
        <v>843</v>
      </c>
      <c r="H39" s="202">
        <v>10</v>
      </c>
      <c r="I39" s="203" t="s">
        <v>9</v>
      </c>
      <c r="J39" s="197" t="s">
        <v>215</v>
      </c>
      <c r="K39" s="193" t="s">
        <v>370</v>
      </c>
      <c r="L39" s="194"/>
      <c r="M39" s="204">
        <f>5919.3-524</f>
        <v>5395.3</v>
      </c>
      <c r="N39" s="194">
        <v>4881.8999999999996</v>
      </c>
      <c r="O39" s="194">
        <f t="shared" si="3"/>
        <v>5125.9949999999999</v>
      </c>
      <c r="P39" s="194">
        <f t="shared" si="3"/>
        <v>5382.29475</v>
      </c>
      <c r="Q39" s="194">
        <f t="shared" si="5"/>
        <v>5651.4094875000001</v>
      </c>
      <c r="AF39" s="234"/>
      <c r="AG39" s="234"/>
      <c r="AH39" s="234"/>
      <c r="AI39" s="234"/>
      <c r="AJ39" s="234"/>
      <c r="AK39" s="233">
        <f t="shared" si="4"/>
        <v>0</v>
      </c>
    </row>
    <row r="40" spans="1:37" s="195" customFormat="1" ht="38.25" hidden="1" customHeight="1">
      <c r="A40" s="189" t="s">
        <v>110</v>
      </c>
      <c r="B40" s="189" t="s">
        <v>7</v>
      </c>
      <c r="C40" s="189" t="s">
        <v>7</v>
      </c>
      <c r="D40" s="190" t="s">
        <v>69</v>
      </c>
      <c r="E40" s="200" t="s">
        <v>217</v>
      </c>
      <c r="F40" s="192" t="s">
        <v>112</v>
      </c>
      <c r="G40" s="201">
        <v>843</v>
      </c>
      <c r="H40" s="202">
        <v>10</v>
      </c>
      <c r="I40" s="203" t="s">
        <v>9</v>
      </c>
      <c r="J40" s="197" t="s">
        <v>218</v>
      </c>
      <c r="K40" s="193" t="s">
        <v>370</v>
      </c>
      <c r="L40" s="194"/>
      <c r="M40" s="204">
        <v>585.1</v>
      </c>
      <c r="N40" s="194">
        <v>524.70000000000005</v>
      </c>
      <c r="O40" s="194">
        <f t="shared" si="3"/>
        <v>550.93500000000006</v>
      </c>
      <c r="P40" s="194">
        <f t="shared" si="3"/>
        <v>578.48175000000003</v>
      </c>
      <c r="Q40" s="194">
        <f t="shared" si="5"/>
        <v>607.40583750000008</v>
      </c>
      <c r="AF40" s="234"/>
      <c r="AG40" s="234"/>
      <c r="AH40" s="234"/>
      <c r="AI40" s="234"/>
      <c r="AJ40" s="234"/>
      <c r="AK40" s="233">
        <f t="shared" si="4"/>
        <v>0</v>
      </c>
    </row>
    <row r="41" spans="1:37" s="195" customFormat="1" ht="38.25" hidden="1" customHeight="1">
      <c r="A41" s="189" t="s">
        <v>110</v>
      </c>
      <c r="B41" s="189" t="s">
        <v>7</v>
      </c>
      <c r="C41" s="189" t="s">
        <v>7</v>
      </c>
      <c r="D41" s="190" t="s">
        <v>73</v>
      </c>
      <c r="E41" s="200" t="s">
        <v>219</v>
      </c>
      <c r="F41" s="192" t="s">
        <v>112</v>
      </c>
      <c r="G41" s="201">
        <v>843</v>
      </c>
      <c r="H41" s="202">
        <v>10</v>
      </c>
      <c r="I41" s="203" t="s">
        <v>51</v>
      </c>
      <c r="J41" s="197" t="s">
        <v>220</v>
      </c>
      <c r="K41" s="193">
        <v>310</v>
      </c>
      <c r="L41" s="194"/>
      <c r="M41" s="204">
        <f>89491.9-4019</f>
        <v>85472.9</v>
      </c>
      <c r="N41" s="194">
        <v>84155.1</v>
      </c>
      <c r="O41" s="194">
        <f t="shared" si="3"/>
        <v>88362.85500000001</v>
      </c>
      <c r="P41" s="194">
        <f t="shared" si="3"/>
        <v>92780.99775000001</v>
      </c>
      <c r="Q41" s="194">
        <f t="shared" si="5"/>
        <v>97420.047637500014</v>
      </c>
      <c r="AF41" s="234"/>
      <c r="AG41" s="234"/>
      <c r="AH41" s="234"/>
      <c r="AI41" s="234"/>
      <c r="AJ41" s="234"/>
      <c r="AK41" s="233">
        <f t="shared" si="4"/>
        <v>0</v>
      </c>
    </row>
    <row r="42" spans="1:37" s="195" customFormat="1" ht="38.25" hidden="1" customHeight="1">
      <c r="A42" s="189" t="s">
        <v>110</v>
      </c>
      <c r="B42" s="189" t="s">
        <v>7</v>
      </c>
      <c r="C42" s="189" t="s">
        <v>7</v>
      </c>
      <c r="D42" s="190" t="s">
        <v>75</v>
      </c>
      <c r="E42" s="200" t="s">
        <v>221</v>
      </c>
      <c r="F42" s="192" t="s">
        <v>112</v>
      </c>
      <c r="G42" s="201">
        <v>843</v>
      </c>
      <c r="H42" s="202">
        <v>10</v>
      </c>
      <c r="I42" s="203" t="s">
        <v>8</v>
      </c>
      <c r="J42" s="197" t="s">
        <v>222</v>
      </c>
      <c r="K42" s="193" t="s">
        <v>372</v>
      </c>
      <c r="L42" s="194"/>
      <c r="M42" s="204">
        <v>2386.1999999999998</v>
      </c>
      <c r="N42" s="194">
        <v>2383.8000000000002</v>
      </c>
      <c r="O42" s="194">
        <f t="shared" si="3"/>
        <v>2502.9900000000002</v>
      </c>
      <c r="P42" s="194">
        <f t="shared" si="3"/>
        <v>2628.1395000000002</v>
      </c>
      <c r="Q42" s="194">
        <f t="shared" si="5"/>
        <v>2759.5464750000006</v>
      </c>
      <c r="AF42" s="234"/>
      <c r="AG42" s="234"/>
      <c r="AH42" s="234"/>
      <c r="AI42" s="234"/>
      <c r="AJ42" s="234"/>
      <c r="AK42" s="233">
        <f t="shared" si="4"/>
        <v>0</v>
      </c>
    </row>
    <row r="43" spans="1:37" ht="38.25" hidden="1" customHeight="1">
      <c r="A43" s="225" t="s">
        <v>110</v>
      </c>
      <c r="B43" s="225" t="s">
        <v>7</v>
      </c>
      <c r="C43" s="225" t="s">
        <v>7</v>
      </c>
      <c r="D43" s="8" t="s">
        <v>76</v>
      </c>
      <c r="E43" s="222" t="s">
        <v>223</v>
      </c>
      <c r="F43" s="1" t="s">
        <v>112</v>
      </c>
      <c r="G43" s="217">
        <v>843</v>
      </c>
      <c r="H43" s="215">
        <v>10</v>
      </c>
      <c r="I43" s="219" t="s">
        <v>9</v>
      </c>
      <c r="J43" s="7" t="s">
        <v>225</v>
      </c>
      <c r="K43" s="6">
        <v>310</v>
      </c>
      <c r="L43" s="30"/>
      <c r="M43" s="204">
        <f>41311.1-5000-2837</f>
        <v>33474.1</v>
      </c>
      <c r="N43" s="30">
        <v>0</v>
      </c>
      <c r="O43" s="30">
        <f t="shared" si="3"/>
        <v>0</v>
      </c>
      <c r="P43" s="30">
        <f t="shared" si="3"/>
        <v>0</v>
      </c>
      <c r="Q43" s="30">
        <f t="shared" si="5"/>
        <v>0</v>
      </c>
      <c r="AK43" s="233">
        <f t="shared" si="4"/>
        <v>0</v>
      </c>
    </row>
    <row r="44" spans="1:37" ht="76.5" hidden="1" customHeight="1">
      <c r="A44" s="225" t="s">
        <v>110</v>
      </c>
      <c r="B44" s="225" t="s">
        <v>7</v>
      </c>
      <c r="C44" s="225" t="s">
        <v>7</v>
      </c>
      <c r="D44" s="8" t="s">
        <v>182</v>
      </c>
      <c r="E44" s="222" t="s">
        <v>224</v>
      </c>
      <c r="F44" s="1" t="s">
        <v>112</v>
      </c>
      <c r="G44" s="217">
        <v>843</v>
      </c>
      <c r="H44" s="215">
        <v>10</v>
      </c>
      <c r="I44" s="219" t="s">
        <v>7</v>
      </c>
      <c r="J44" s="7" t="s">
        <v>226</v>
      </c>
      <c r="K44" s="6">
        <v>310</v>
      </c>
      <c r="L44" s="30"/>
      <c r="M44" s="204">
        <f>520.8-110</f>
        <v>410.79999999999995</v>
      </c>
      <c r="N44" s="30">
        <v>0</v>
      </c>
      <c r="O44" s="30">
        <f t="shared" si="3"/>
        <v>0</v>
      </c>
      <c r="P44" s="30">
        <f t="shared" si="3"/>
        <v>0</v>
      </c>
      <c r="Q44" s="30">
        <f t="shared" si="5"/>
        <v>0</v>
      </c>
      <c r="AK44" s="233">
        <f t="shared" si="4"/>
        <v>0</v>
      </c>
    </row>
    <row r="45" spans="1:37" ht="38.25" hidden="1" customHeight="1">
      <c r="A45" s="225" t="s">
        <v>110</v>
      </c>
      <c r="B45" s="225" t="s">
        <v>7</v>
      </c>
      <c r="C45" s="225" t="s">
        <v>7</v>
      </c>
      <c r="D45" s="8" t="s">
        <v>228</v>
      </c>
      <c r="E45" s="222" t="s">
        <v>227</v>
      </c>
      <c r="F45" s="216" t="s">
        <v>112</v>
      </c>
      <c r="G45" s="217">
        <v>843</v>
      </c>
      <c r="H45" s="215">
        <v>10</v>
      </c>
      <c r="I45" s="219" t="s">
        <v>9</v>
      </c>
      <c r="J45" s="7" t="s">
        <v>229</v>
      </c>
      <c r="K45" s="211" t="s">
        <v>373</v>
      </c>
      <c r="L45" s="32">
        <v>35738.9</v>
      </c>
      <c r="M45" s="100">
        <v>36399.1</v>
      </c>
      <c r="N45" s="30">
        <v>40211.800000000003</v>
      </c>
      <c r="O45" s="30">
        <f t="shared" ref="O45:P47" si="6">N45*1.05</f>
        <v>42222.390000000007</v>
      </c>
      <c r="P45" s="30">
        <f t="shared" si="6"/>
        <v>44333.509500000007</v>
      </c>
      <c r="Q45" s="30">
        <f t="shared" si="5"/>
        <v>46550.184975000011</v>
      </c>
      <c r="AK45" s="233">
        <f t="shared" si="4"/>
        <v>0</v>
      </c>
    </row>
    <row r="46" spans="1:37" ht="38.25" hidden="1" customHeight="1">
      <c r="A46" s="225" t="s">
        <v>110</v>
      </c>
      <c r="B46" s="225" t="s">
        <v>7</v>
      </c>
      <c r="C46" s="225" t="s">
        <v>7</v>
      </c>
      <c r="D46" s="8" t="s">
        <v>230</v>
      </c>
      <c r="E46" s="222" t="s">
        <v>231</v>
      </c>
      <c r="F46" s="216" t="s">
        <v>112</v>
      </c>
      <c r="G46" s="217">
        <v>843</v>
      </c>
      <c r="H46" s="215">
        <v>10</v>
      </c>
      <c r="I46" s="219" t="s">
        <v>9</v>
      </c>
      <c r="J46" s="7" t="s">
        <v>232</v>
      </c>
      <c r="K46" s="6">
        <v>320</v>
      </c>
      <c r="L46" s="32"/>
      <c r="M46" s="32">
        <f>275.1-14.7</f>
        <v>260.40000000000003</v>
      </c>
      <c r="N46" s="30">
        <v>222.4</v>
      </c>
      <c r="O46" s="30">
        <f t="shared" si="6"/>
        <v>233.52</v>
      </c>
      <c r="P46" s="30">
        <f t="shared" si="6"/>
        <v>245.19600000000003</v>
      </c>
      <c r="Q46" s="30">
        <f t="shared" si="5"/>
        <v>257.45580000000001</v>
      </c>
      <c r="AK46" s="233">
        <f t="shared" si="4"/>
        <v>0</v>
      </c>
    </row>
    <row r="47" spans="1:37" ht="38.25" hidden="1" customHeight="1">
      <c r="A47" s="225" t="s">
        <v>110</v>
      </c>
      <c r="B47" s="225" t="s">
        <v>7</v>
      </c>
      <c r="C47" s="225" t="s">
        <v>7</v>
      </c>
      <c r="D47" s="8" t="s">
        <v>365</v>
      </c>
      <c r="E47" s="222" t="s">
        <v>367</v>
      </c>
      <c r="F47" s="216" t="s">
        <v>112</v>
      </c>
      <c r="G47" s="217">
        <v>843</v>
      </c>
      <c r="H47" s="215">
        <v>10</v>
      </c>
      <c r="I47" s="219" t="s">
        <v>9</v>
      </c>
      <c r="J47" s="7" t="s">
        <v>366</v>
      </c>
      <c r="K47" s="6">
        <v>320</v>
      </c>
      <c r="L47" s="32"/>
      <c r="M47" s="32">
        <v>102.2</v>
      </c>
      <c r="N47" s="30">
        <v>0</v>
      </c>
      <c r="O47" s="30">
        <f t="shared" si="6"/>
        <v>0</v>
      </c>
      <c r="P47" s="30">
        <f t="shared" si="6"/>
        <v>0</v>
      </c>
      <c r="Q47" s="30">
        <f t="shared" si="5"/>
        <v>0</v>
      </c>
      <c r="AK47" s="233">
        <f t="shared" si="4"/>
        <v>0</v>
      </c>
    </row>
    <row r="48" spans="1:37" ht="38.25" customHeight="1">
      <c r="A48" s="225" t="s">
        <v>110</v>
      </c>
      <c r="B48" s="225" t="s">
        <v>7</v>
      </c>
      <c r="C48" s="225" t="s">
        <v>9</v>
      </c>
      <c r="D48" s="8"/>
      <c r="E48" s="222" t="s">
        <v>233</v>
      </c>
      <c r="F48" s="216" t="s">
        <v>112</v>
      </c>
      <c r="G48" s="217">
        <v>843</v>
      </c>
      <c r="H48" s="215">
        <v>10</v>
      </c>
      <c r="I48" s="219" t="s">
        <v>9</v>
      </c>
      <c r="J48" s="7" t="s">
        <v>235</v>
      </c>
      <c r="K48" s="6">
        <v>320</v>
      </c>
      <c r="L48" s="32">
        <f t="shared" ref="L48:Q48" si="7">L49</f>
        <v>13245</v>
      </c>
      <c r="M48" s="32">
        <f t="shared" si="7"/>
        <v>5965.2</v>
      </c>
      <c r="N48" s="32">
        <f t="shared" si="7"/>
        <v>15484.5</v>
      </c>
      <c r="O48" s="32">
        <f t="shared" si="7"/>
        <v>16258.725</v>
      </c>
      <c r="P48" s="32">
        <f t="shared" si="7"/>
        <v>17071.661250000001</v>
      </c>
      <c r="Q48" s="32">
        <f t="shared" si="7"/>
        <v>17925.244312500003</v>
      </c>
      <c r="AF48" s="233">
        <v>13000</v>
      </c>
      <c r="AG48" s="233">
        <v>13000</v>
      </c>
      <c r="AJ48" s="233">
        <v>-7034.8</v>
      </c>
      <c r="AK48" s="233">
        <f t="shared" si="4"/>
        <v>5965.2</v>
      </c>
    </row>
    <row r="49" spans="1:37" ht="38.25" hidden="1" customHeight="1">
      <c r="A49" s="225" t="s">
        <v>110</v>
      </c>
      <c r="B49" s="225" t="s">
        <v>7</v>
      </c>
      <c r="C49" s="225" t="s">
        <v>9</v>
      </c>
      <c r="D49" s="8" t="s">
        <v>7</v>
      </c>
      <c r="E49" s="222" t="s">
        <v>234</v>
      </c>
      <c r="F49" s="216" t="s">
        <v>112</v>
      </c>
      <c r="G49" s="217">
        <v>843</v>
      </c>
      <c r="H49" s="215">
        <v>10</v>
      </c>
      <c r="I49" s="219" t="s">
        <v>9</v>
      </c>
      <c r="J49" s="7" t="s">
        <v>236</v>
      </c>
      <c r="K49" s="6">
        <v>320</v>
      </c>
      <c r="L49" s="32">
        <f>L75</f>
        <v>13245</v>
      </c>
      <c r="M49" s="32">
        <f>13000-7034.8</f>
        <v>5965.2</v>
      </c>
      <c r="N49" s="30">
        <v>15484.5</v>
      </c>
      <c r="O49" s="30">
        <f>N49*1.05</f>
        <v>16258.725</v>
      </c>
      <c r="P49" s="30">
        <f>O49*1.05</f>
        <v>17071.661250000001</v>
      </c>
      <c r="Q49" s="30">
        <f t="shared" si="5"/>
        <v>17925.244312500003</v>
      </c>
      <c r="AK49" s="233">
        <f t="shared" si="4"/>
        <v>0</v>
      </c>
    </row>
    <row r="50" spans="1:37" ht="55.5" customHeight="1">
      <c r="A50" s="225" t="s">
        <v>110</v>
      </c>
      <c r="B50" s="225" t="s">
        <v>7</v>
      </c>
      <c r="C50" s="225" t="s">
        <v>10</v>
      </c>
      <c r="D50" s="8"/>
      <c r="E50" s="222" t="s">
        <v>238</v>
      </c>
      <c r="F50" s="216" t="s">
        <v>112</v>
      </c>
      <c r="G50" s="217">
        <v>843</v>
      </c>
      <c r="H50" s="215">
        <v>10</v>
      </c>
      <c r="I50" s="219" t="s">
        <v>9</v>
      </c>
      <c r="J50" s="7" t="s">
        <v>239</v>
      </c>
      <c r="K50" s="6">
        <v>320</v>
      </c>
      <c r="L50" s="32">
        <f t="shared" ref="L50:Q50" si="8">L51</f>
        <v>360861.8</v>
      </c>
      <c r="M50" s="32">
        <f t="shared" si="8"/>
        <v>333837.5</v>
      </c>
      <c r="N50" s="32">
        <f t="shared" si="8"/>
        <v>0</v>
      </c>
      <c r="O50" s="32">
        <f t="shared" si="8"/>
        <v>0</v>
      </c>
      <c r="P50" s="32">
        <f t="shared" si="8"/>
        <v>0</v>
      </c>
      <c r="Q50" s="32">
        <f t="shared" si="8"/>
        <v>0</v>
      </c>
      <c r="AK50" s="239">
        <f t="shared" si="4"/>
        <v>0</v>
      </c>
    </row>
    <row r="51" spans="1:37" ht="38.25" customHeight="1">
      <c r="A51" s="225" t="s">
        <v>110</v>
      </c>
      <c r="B51" s="225" t="s">
        <v>7</v>
      </c>
      <c r="C51" s="225" t="s">
        <v>10</v>
      </c>
      <c r="D51" s="8" t="s">
        <v>7</v>
      </c>
      <c r="E51" s="222" t="s">
        <v>237</v>
      </c>
      <c r="F51" s="216" t="s">
        <v>112</v>
      </c>
      <c r="G51" s="217">
        <v>843</v>
      </c>
      <c r="H51" s="215">
        <v>10</v>
      </c>
      <c r="I51" s="219" t="s">
        <v>9</v>
      </c>
      <c r="J51" s="7" t="s">
        <v>240</v>
      </c>
      <c r="K51" s="6"/>
      <c r="L51" s="32">
        <f>L76</f>
        <v>360861.8</v>
      </c>
      <c r="M51" s="32">
        <v>333837.5</v>
      </c>
      <c r="N51" s="30">
        <f>M76*1.05</f>
        <v>0</v>
      </c>
      <c r="O51" s="30">
        <f>N51*1.05</f>
        <v>0</v>
      </c>
      <c r="P51" s="30">
        <f>O51*1.05</f>
        <v>0</v>
      </c>
      <c r="Q51" s="30">
        <f t="shared" si="5"/>
        <v>0</v>
      </c>
      <c r="AK51" s="239">
        <f t="shared" si="4"/>
        <v>0</v>
      </c>
    </row>
    <row r="52" spans="1:37" ht="48.75" customHeight="1">
      <c r="A52" s="225" t="s">
        <v>110</v>
      </c>
      <c r="B52" s="225" t="s">
        <v>7</v>
      </c>
      <c r="C52" s="225" t="s">
        <v>33</v>
      </c>
      <c r="D52" s="8"/>
      <c r="E52" s="222" t="s">
        <v>241</v>
      </c>
      <c r="F52" s="216" t="s">
        <v>112</v>
      </c>
      <c r="G52" s="217">
        <v>843</v>
      </c>
      <c r="H52" s="215">
        <v>10</v>
      </c>
      <c r="I52" s="219" t="s">
        <v>9</v>
      </c>
      <c r="J52" s="7" t="s">
        <v>243</v>
      </c>
      <c r="K52" s="6">
        <v>320</v>
      </c>
      <c r="L52" s="32">
        <f>L53</f>
        <v>36893.5</v>
      </c>
      <c r="M52" s="32">
        <v>39285.599999999999</v>
      </c>
      <c r="N52" s="32">
        <v>0</v>
      </c>
      <c r="O52" s="32">
        <v>0</v>
      </c>
      <c r="P52" s="32">
        <v>0</v>
      </c>
      <c r="Q52" s="32">
        <v>0</v>
      </c>
      <c r="AK52" s="239">
        <f t="shared" si="4"/>
        <v>0</v>
      </c>
    </row>
    <row r="53" spans="1:37" ht="38.25" customHeight="1">
      <c r="A53" s="225" t="s">
        <v>110</v>
      </c>
      <c r="B53" s="225" t="s">
        <v>7</v>
      </c>
      <c r="C53" s="225" t="s">
        <v>33</v>
      </c>
      <c r="D53" s="8" t="s">
        <v>7</v>
      </c>
      <c r="E53" s="222" t="s">
        <v>242</v>
      </c>
      <c r="F53" s="216" t="s">
        <v>112</v>
      </c>
      <c r="G53" s="217">
        <v>843</v>
      </c>
      <c r="H53" s="215">
        <v>10</v>
      </c>
      <c r="I53" s="219" t="s">
        <v>9</v>
      </c>
      <c r="J53" s="7" t="s">
        <v>244</v>
      </c>
      <c r="K53" s="6"/>
      <c r="L53" s="32">
        <f>L77</f>
        <v>36893.5</v>
      </c>
      <c r="M53" s="31">
        <v>35061.599999999999</v>
      </c>
      <c r="N53" s="30">
        <f>M53*1.05</f>
        <v>36814.68</v>
      </c>
      <c r="O53" s="30">
        <f>N53*1.05</f>
        <v>38655.414000000004</v>
      </c>
      <c r="P53" s="30">
        <f>O53*1.05</f>
        <v>40588.184700000005</v>
      </c>
      <c r="Q53" s="30">
        <f t="shared" si="5"/>
        <v>42617.593935000004</v>
      </c>
      <c r="AK53" s="233">
        <f t="shared" si="4"/>
        <v>0</v>
      </c>
    </row>
    <row r="54" spans="1:37" ht="38.25" customHeight="1">
      <c r="A54" s="225" t="s">
        <v>110</v>
      </c>
      <c r="B54" s="225" t="s">
        <v>7</v>
      </c>
      <c r="C54" s="225" t="s">
        <v>25</v>
      </c>
      <c r="D54" s="8"/>
      <c r="E54" s="222" t="s">
        <v>23</v>
      </c>
      <c r="F54" s="216" t="s">
        <v>112</v>
      </c>
      <c r="G54" s="217">
        <v>843</v>
      </c>
      <c r="H54" s="215">
        <v>10</v>
      </c>
      <c r="I54" s="219" t="s">
        <v>25</v>
      </c>
      <c r="J54" s="7" t="s">
        <v>245</v>
      </c>
      <c r="K54" s="6">
        <v>630</v>
      </c>
      <c r="L54" s="31">
        <f>SUM(L55:L65)</f>
        <v>2753.9</v>
      </c>
      <c r="M54" s="32">
        <v>3287.9</v>
      </c>
      <c r="N54" s="31">
        <f>SUM(N55:N65)</f>
        <v>2908.1000000000004</v>
      </c>
      <c r="O54" s="31">
        <f>SUM(O55:O65)</f>
        <v>3053.5050000000001</v>
      </c>
      <c r="P54" s="31">
        <f>SUM(P55:P65)</f>
        <v>3206.1802500000003</v>
      </c>
      <c r="Q54" s="31">
        <f>SUM(Q55:Q65)</f>
        <v>3366.4892625000007</v>
      </c>
      <c r="AG54" s="233">
        <v>2960.8</v>
      </c>
      <c r="AK54" s="233">
        <f t="shared" si="4"/>
        <v>2960.8</v>
      </c>
    </row>
    <row r="55" spans="1:37" ht="38.25" hidden="1" customHeight="1">
      <c r="A55" s="225" t="s">
        <v>110</v>
      </c>
      <c r="B55" s="225" t="s">
        <v>7</v>
      </c>
      <c r="C55" s="225" t="s">
        <v>25</v>
      </c>
      <c r="D55" s="8" t="s">
        <v>7</v>
      </c>
      <c r="E55" s="222" t="s">
        <v>246</v>
      </c>
      <c r="F55" s="216" t="s">
        <v>112</v>
      </c>
      <c r="G55" s="217">
        <v>843</v>
      </c>
      <c r="H55" s="215">
        <v>10</v>
      </c>
      <c r="I55" s="219" t="s">
        <v>25</v>
      </c>
      <c r="J55" s="7" t="s">
        <v>257</v>
      </c>
      <c r="K55" s="6">
        <v>630</v>
      </c>
      <c r="L55" s="32">
        <v>381.3</v>
      </c>
      <c r="M55" s="31">
        <v>508.4</v>
      </c>
      <c r="N55" s="30">
        <v>507.9</v>
      </c>
      <c r="O55" s="30">
        <f>N55*1.05</f>
        <v>533.29499999999996</v>
      </c>
      <c r="P55" s="30">
        <f>O55*1.05</f>
        <v>559.95974999999999</v>
      </c>
      <c r="Q55" s="30">
        <f t="shared" si="5"/>
        <v>587.95773750000001</v>
      </c>
      <c r="AK55" s="233">
        <f t="shared" si="4"/>
        <v>0</v>
      </c>
    </row>
    <row r="56" spans="1:37" ht="38.25" hidden="1" customHeight="1">
      <c r="A56" s="225" t="s">
        <v>110</v>
      </c>
      <c r="B56" s="225" t="s">
        <v>7</v>
      </c>
      <c r="C56" s="225" t="s">
        <v>25</v>
      </c>
      <c r="D56" s="8" t="s">
        <v>8</v>
      </c>
      <c r="E56" s="222" t="s">
        <v>247</v>
      </c>
      <c r="F56" s="216" t="s">
        <v>112</v>
      </c>
      <c r="G56" s="217">
        <v>843</v>
      </c>
      <c r="H56" s="215">
        <v>10</v>
      </c>
      <c r="I56" s="219" t="s">
        <v>25</v>
      </c>
      <c r="J56" s="7" t="s">
        <v>258</v>
      </c>
      <c r="K56" s="6">
        <v>630</v>
      </c>
      <c r="L56" s="32">
        <v>174.2</v>
      </c>
      <c r="M56" s="31">
        <v>232.3</v>
      </c>
      <c r="N56" s="30">
        <v>232.1</v>
      </c>
      <c r="O56" s="30">
        <f t="shared" ref="O56:P65" si="9">N56*1.05</f>
        <v>243.70500000000001</v>
      </c>
      <c r="P56" s="30">
        <f t="shared" si="9"/>
        <v>255.89025000000004</v>
      </c>
      <c r="Q56" s="30">
        <f t="shared" si="5"/>
        <v>268.68476250000003</v>
      </c>
      <c r="AK56" s="233">
        <f t="shared" si="4"/>
        <v>0</v>
      </c>
    </row>
    <row r="57" spans="1:37" ht="38.25" hidden="1" customHeight="1">
      <c r="A57" s="225" t="s">
        <v>110</v>
      </c>
      <c r="B57" s="225" t="s">
        <v>7</v>
      </c>
      <c r="C57" s="225" t="s">
        <v>25</v>
      </c>
      <c r="D57" s="8" t="s">
        <v>9</v>
      </c>
      <c r="E57" s="222" t="s">
        <v>248</v>
      </c>
      <c r="F57" s="216" t="s">
        <v>112</v>
      </c>
      <c r="G57" s="217">
        <v>843</v>
      </c>
      <c r="H57" s="215">
        <v>10</v>
      </c>
      <c r="I57" s="219" t="s">
        <v>25</v>
      </c>
      <c r="J57" s="7" t="s">
        <v>259</v>
      </c>
      <c r="K57" s="6">
        <v>630</v>
      </c>
      <c r="L57" s="32">
        <v>103.7</v>
      </c>
      <c r="M57" s="31">
        <v>138.19999999999999</v>
      </c>
      <c r="N57" s="30">
        <v>138.1</v>
      </c>
      <c r="O57" s="30">
        <f t="shared" si="9"/>
        <v>145.005</v>
      </c>
      <c r="P57" s="30">
        <f t="shared" si="9"/>
        <v>152.25524999999999</v>
      </c>
      <c r="Q57" s="30">
        <f t="shared" si="5"/>
        <v>159.86801249999999</v>
      </c>
      <c r="AK57" s="233">
        <f t="shared" si="4"/>
        <v>0</v>
      </c>
    </row>
    <row r="58" spans="1:37" ht="63.75" hidden="1" customHeight="1">
      <c r="A58" s="225" t="s">
        <v>110</v>
      </c>
      <c r="B58" s="225" t="s">
        <v>7</v>
      </c>
      <c r="C58" s="225" t="s">
        <v>25</v>
      </c>
      <c r="D58" s="8" t="s">
        <v>10</v>
      </c>
      <c r="E58" s="222" t="s">
        <v>249</v>
      </c>
      <c r="F58" s="216" t="s">
        <v>112</v>
      </c>
      <c r="G58" s="217">
        <v>843</v>
      </c>
      <c r="H58" s="215">
        <v>10</v>
      </c>
      <c r="I58" s="219" t="s">
        <v>25</v>
      </c>
      <c r="J58" s="7" t="s">
        <v>260</v>
      </c>
      <c r="K58" s="6">
        <v>630</v>
      </c>
      <c r="L58" s="32">
        <v>19</v>
      </c>
      <c r="M58" s="31">
        <v>25.3</v>
      </c>
      <c r="N58" s="30">
        <v>25.3</v>
      </c>
      <c r="O58" s="30">
        <f t="shared" si="9"/>
        <v>26.565000000000001</v>
      </c>
      <c r="P58" s="30">
        <f t="shared" si="9"/>
        <v>27.893250000000002</v>
      </c>
      <c r="Q58" s="30">
        <f t="shared" si="5"/>
        <v>29.287912500000004</v>
      </c>
      <c r="AK58" s="233">
        <f t="shared" si="4"/>
        <v>0</v>
      </c>
    </row>
    <row r="59" spans="1:37" ht="38.25" hidden="1" customHeight="1">
      <c r="A59" s="225" t="s">
        <v>110</v>
      </c>
      <c r="B59" s="225" t="s">
        <v>7</v>
      </c>
      <c r="C59" s="225" t="s">
        <v>25</v>
      </c>
      <c r="D59" s="8" t="s">
        <v>33</v>
      </c>
      <c r="E59" s="222" t="s">
        <v>250</v>
      </c>
      <c r="F59" s="216" t="s">
        <v>112</v>
      </c>
      <c r="G59" s="217">
        <v>843</v>
      </c>
      <c r="H59" s="215">
        <v>10</v>
      </c>
      <c r="I59" s="219" t="s">
        <v>25</v>
      </c>
      <c r="J59" s="7" t="s">
        <v>374</v>
      </c>
      <c r="K59" s="6">
        <v>630</v>
      </c>
      <c r="L59" s="32">
        <v>75.2</v>
      </c>
      <c r="M59" s="31">
        <v>100.2</v>
      </c>
      <c r="N59" s="30">
        <v>100.1</v>
      </c>
      <c r="O59" s="30">
        <f t="shared" si="9"/>
        <v>105.105</v>
      </c>
      <c r="P59" s="30">
        <f t="shared" si="9"/>
        <v>110.36025000000001</v>
      </c>
      <c r="Q59" s="30">
        <f t="shared" si="5"/>
        <v>115.87826250000002</v>
      </c>
      <c r="AK59" s="233">
        <f t="shared" si="4"/>
        <v>0</v>
      </c>
    </row>
    <row r="60" spans="1:37" ht="38.25" hidden="1" customHeight="1">
      <c r="A60" s="225" t="s">
        <v>110</v>
      </c>
      <c r="B60" s="225" t="s">
        <v>7</v>
      </c>
      <c r="C60" s="225" t="s">
        <v>25</v>
      </c>
      <c r="D60" s="8" t="s">
        <v>25</v>
      </c>
      <c r="E60" s="222" t="s">
        <v>251</v>
      </c>
      <c r="F60" s="216" t="s">
        <v>112</v>
      </c>
      <c r="G60" s="217">
        <v>843</v>
      </c>
      <c r="H60" s="215">
        <v>10</v>
      </c>
      <c r="I60" s="219" t="s">
        <v>25</v>
      </c>
      <c r="J60" s="7" t="s">
        <v>375</v>
      </c>
      <c r="K60" s="6">
        <v>630</v>
      </c>
      <c r="L60" s="32">
        <v>413.9</v>
      </c>
      <c r="M60" s="31">
        <v>413.9</v>
      </c>
      <c r="N60" s="30">
        <v>413.5</v>
      </c>
      <c r="O60" s="30">
        <f t="shared" si="9"/>
        <v>434.17500000000001</v>
      </c>
      <c r="P60" s="30">
        <f t="shared" si="9"/>
        <v>455.88375000000002</v>
      </c>
      <c r="Q60" s="30">
        <f t="shared" si="5"/>
        <v>478.67793750000004</v>
      </c>
      <c r="AK60" s="233">
        <f t="shared" si="4"/>
        <v>0</v>
      </c>
    </row>
    <row r="61" spans="1:37" ht="51" hidden="1" customHeight="1">
      <c r="A61" s="225" t="s">
        <v>110</v>
      </c>
      <c r="B61" s="225" t="s">
        <v>7</v>
      </c>
      <c r="C61" s="225" t="s">
        <v>25</v>
      </c>
      <c r="D61" s="8" t="s">
        <v>6</v>
      </c>
      <c r="E61" s="222" t="s">
        <v>252</v>
      </c>
      <c r="F61" s="216" t="s">
        <v>112</v>
      </c>
      <c r="G61" s="217">
        <v>843</v>
      </c>
      <c r="H61" s="215">
        <v>10</v>
      </c>
      <c r="I61" s="219" t="s">
        <v>25</v>
      </c>
      <c r="J61" s="7" t="s">
        <v>376</v>
      </c>
      <c r="K61" s="6">
        <v>630</v>
      </c>
      <c r="L61" s="32">
        <v>494.4</v>
      </c>
      <c r="M61" s="31">
        <v>494.4</v>
      </c>
      <c r="N61" s="30">
        <v>493.9</v>
      </c>
      <c r="O61" s="30">
        <f t="shared" si="9"/>
        <v>518.59500000000003</v>
      </c>
      <c r="P61" s="30">
        <f t="shared" si="9"/>
        <v>544.52475000000004</v>
      </c>
      <c r="Q61" s="30">
        <f t="shared" si="5"/>
        <v>571.75098750000006</v>
      </c>
      <c r="AK61" s="233">
        <f t="shared" si="4"/>
        <v>0</v>
      </c>
    </row>
    <row r="62" spans="1:37" ht="51" hidden="1" customHeight="1">
      <c r="A62" s="225" t="s">
        <v>110</v>
      </c>
      <c r="B62" s="225" t="s">
        <v>7</v>
      </c>
      <c r="C62" s="225" t="s">
        <v>25</v>
      </c>
      <c r="D62" s="8" t="s">
        <v>34</v>
      </c>
      <c r="E62" s="222" t="s">
        <v>253</v>
      </c>
      <c r="F62" s="216" t="s">
        <v>112</v>
      </c>
      <c r="G62" s="217">
        <v>843</v>
      </c>
      <c r="H62" s="215">
        <v>10</v>
      </c>
      <c r="I62" s="219" t="s">
        <v>25</v>
      </c>
      <c r="J62" s="7" t="s">
        <v>377</v>
      </c>
      <c r="K62" s="6">
        <v>630</v>
      </c>
      <c r="L62" s="32">
        <v>1000</v>
      </c>
      <c r="M62" s="31">
        <v>925.1</v>
      </c>
      <c r="N62" s="30">
        <v>924.2</v>
      </c>
      <c r="O62" s="30">
        <f t="shared" si="9"/>
        <v>970.41000000000008</v>
      </c>
      <c r="P62" s="30">
        <f t="shared" si="9"/>
        <v>1018.9305000000002</v>
      </c>
      <c r="Q62" s="30">
        <f t="shared" si="5"/>
        <v>1069.8770250000002</v>
      </c>
      <c r="AK62" s="233">
        <f t="shared" si="4"/>
        <v>0</v>
      </c>
    </row>
    <row r="63" spans="1:37" ht="38.25" hidden="1" customHeight="1">
      <c r="A63" s="225" t="s">
        <v>110</v>
      </c>
      <c r="B63" s="225" t="s">
        <v>7</v>
      </c>
      <c r="C63" s="225" t="s">
        <v>25</v>
      </c>
      <c r="D63" s="8" t="s">
        <v>35</v>
      </c>
      <c r="E63" s="222" t="s">
        <v>254</v>
      </c>
      <c r="F63" s="216" t="s">
        <v>112</v>
      </c>
      <c r="G63" s="217">
        <v>843</v>
      </c>
      <c r="H63" s="215">
        <v>10</v>
      </c>
      <c r="I63" s="219" t="s">
        <v>25</v>
      </c>
      <c r="J63" s="7" t="s">
        <v>378</v>
      </c>
      <c r="K63" s="6">
        <v>630</v>
      </c>
      <c r="L63" s="32">
        <v>22.1</v>
      </c>
      <c r="M63" s="31">
        <v>29.5</v>
      </c>
      <c r="N63" s="30">
        <v>29.5</v>
      </c>
      <c r="O63" s="30">
        <f t="shared" si="9"/>
        <v>30.975000000000001</v>
      </c>
      <c r="P63" s="30">
        <f t="shared" si="9"/>
        <v>32.52375</v>
      </c>
      <c r="Q63" s="30">
        <f t="shared" si="5"/>
        <v>34.1499375</v>
      </c>
      <c r="AK63" s="233">
        <f t="shared" si="4"/>
        <v>0</v>
      </c>
    </row>
    <row r="64" spans="1:37" ht="38.25" hidden="1" customHeight="1">
      <c r="A64" s="225" t="s">
        <v>110</v>
      </c>
      <c r="B64" s="225" t="s">
        <v>7</v>
      </c>
      <c r="C64" s="225" t="s">
        <v>25</v>
      </c>
      <c r="D64" s="8" t="s">
        <v>51</v>
      </c>
      <c r="E64" s="222" t="s">
        <v>255</v>
      </c>
      <c r="F64" s="216" t="s">
        <v>112</v>
      </c>
      <c r="G64" s="217">
        <v>843</v>
      </c>
      <c r="H64" s="215">
        <v>10</v>
      </c>
      <c r="I64" s="219" t="s">
        <v>25</v>
      </c>
      <c r="J64" s="7" t="s">
        <v>379</v>
      </c>
      <c r="K64" s="6">
        <v>630</v>
      </c>
      <c r="L64" s="32">
        <v>32.6</v>
      </c>
      <c r="M64" s="31">
        <v>43.5</v>
      </c>
      <c r="N64" s="30">
        <v>43.5</v>
      </c>
      <c r="O64" s="30">
        <f t="shared" si="9"/>
        <v>45.675000000000004</v>
      </c>
      <c r="P64" s="30">
        <f t="shared" si="9"/>
        <v>47.958750000000009</v>
      </c>
      <c r="Q64" s="30">
        <f t="shared" si="5"/>
        <v>50.356687500000014</v>
      </c>
      <c r="AK64" s="233">
        <f t="shared" si="4"/>
        <v>0</v>
      </c>
    </row>
    <row r="65" spans="1:38" ht="38.25" hidden="1" customHeight="1">
      <c r="A65" s="225" t="s">
        <v>110</v>
      </c>
      <c r="B65" s="225" t="s">
        <v>7</v>
      </c>
      <c r="C65" s="225" t="s">
        <v>25</v>
      </c>
      <c r="D65" s="8" t="s">
        <v>68</v>
      </c>
      <c r="E65" s="222" t="s">
        <v>256</v>
      </c>
      <c r="F65" s="216" t="s">
        <v>112</v>
      </c>
      <c r="G65" s="217">
        <v>843</v>
      </c>
      <c r="H65" s="215">
        <v>10</v>
      </c>
      <c r="I65" s="219" t="s">
        <v>25</v>
      </c>
      <c r="J65" s="7" t="s">
        <v>380</v>
      </c>
      <c r="K65" s="6">
        <v>630</v>
      </c>
      <c r="L65" s="32">
        <v>37.5</v>
      </c>
      <c r="M65" s="31">
        <v>50</v>
      </c>
      <c r="N65" s="30">
        <v>0</v>
      </c>
      <c r="O65" s="30">
        <f t="shared" si="9"/>
        <v>0</v>
      </c>
      <c r="P65" s="30">
        <f t="shared" si="9"/>
        <v>0</v>
      </c>
      <c r="Q65" s="30">
        <f t="shared" si="5"/>
        <v>0</v>
      </c>
      <c r="AK65" s="233">
        <f t="shared" si="4"/>
        <v>0</v>
      </c>
    </row>
    <row r="66" spans="1:38" ht="38.25" hidden="1" customHeight="1">
      <c r="A66" s="225"/>
      <c r="B66" s="225"/>
      <c r="C66" s="225"/>
      <c r="D66" s="6"/>
      <c r="E66" s="226" t="s">
        <v>14</v>
      </c>
      <c r="F66" s="1" t="s">
        <v>112</v>
      </c>
      <c r="G66" s="6">
        <v>843</v>
      </c>
      <c r="H66" s="6"/>
      <c r="I66" s="8"/>
      <c r="J66" s="8"/>
      <c r="K66" s="6"/>
      <c r="L66" s="30">
        <f>SUM(L29:L45)</f>
        <v>3263781.1999999997</v>
      </c>
      <c r="M66" s="30">
        <v>0</v>
      </c>
      <c r="N66" s="30">
        <v>0</v>
      </c>
      <c r="O66" s="30">
        <v>0</v>
      </c>
      <c r="P66" s="30">
        <v>0</v>
      </c>
      <c r="Q66" s="30">
        <v>0</v>
      </c>
      <c r="R66" s="36"/>
      <c r="AK66" s="233">
        <f t="shared" si="4"/>
        <v>0</v>
      </c>
    </row>
    <row r="67" spans="1:38" s="18" customFormat="1" ht="38.25" hidden="1" customHeight="1">
      <c r="A67" s="8"/>
      <c r="B67" s="8"/>
      <c r="C67" s="8"/>
      <c r="D67" s="8"/>
      <c r="E67" s="1" t="s">
        <v>70</v>
      </c>
      <c r="F67" s="1" t="s">
        <v>112</v>
      </c>
      <c r="G67" s="6">
        <v>843</v>
      </c>
      <c r="H67" s="6"/>
      <c r="I67" s="8"/>
      <c r="J67" s="8"/>
      <c r="K67" s="6"/>
      <c r="L67" s="32">
        <f>L68+L69+L70+L71+L72+L73+L74</f>
        <v>118602.2</v>
      </c>
      <c r="M67" s="32">
        <f ca="1">SUM(M38:M74)</f>
        <v>0</v>
      </c>
      <c r="N67" s="32">
        <f ca="1">SUM(N38:N74)</f>
        <v>0</v>
      </c>
      <c r="O67" s="32">
        <f ca="1">SUM(O38:O74)</f>
        <v>0</v>
      </c>
      <c r="P67" s="32">
        <f ca="1">SUM(P38:P74)</f>
        <v>0</v>
      </c>
      <c r="Q67" s="30">
        <v>0</v>
      </c>
      <c r="AF67" s="235"/>
      <c r="AG67" s="235"/>
      <c r="AH67" s="235"/>
      <c r="AI67" s="235"/>
      <c r="AJ67" s="235"/>
      <c r="AK67" s="233">
        <f t="shared" si="4"/>
        <v>0</v>
      </c>
    </row>
    <row r="68" spans="1:38" ht="38.25" hidden="1" customHeight="1">
      <c r="A68" s="50"/>
      <c r="B68" s="50"/>
      <c r="C68" s="50"/>
      <c r="D68" s="50"/>
      <c r="E68" s="226" t="s">
        <v>15</v>
      </c>
      <c r="F68" s="1" t="s">
        <v>112</v>
      </c>
      <c r="G68" s="6">
        <v>843</v>
      </c>
      <c r="H68" s="211">
        <v>10</v>
      </c>
      <c r="I68" s="7" t="s">
        <v>9</v>
      </c>
      <c r="J68" s="7" t="s">
        <v>127</v>
      </c>
      <c r="K68" s="211" t="s">
        <v>50</v>
      </c>
      <c r="L68" s="32">
        <v>16888.2</v>
      </c>
      <c r="M68" s="32">
        <v>0</v>
      </c>
      <c r="N68" s="32">
        <v>0</v>
      </c>
      <c r="O68" s="30">
        <f t="shared" ref="O68:P78" si="10">N68*1.05</f>
        <v>0</v>
      </c>
      <c r="P68" s="30">
        <f t="shared" si="10"/>
        <v>0</v>
      </c>
      <c r="Q68" s="30">
        <f t="shared" si="5"/>
        <v>0</v>
      </c>
      <c r="AK68" s="233">
        <f t="shared" si="4"/>
        <v>0</v>
      </c>
    </row>
    <row r="69" spans="1:38" ht="38.25" hidden="1" customHeight="1">
      <c r="A69" s="50"/>
      <c r="B69" s="50"/>
      <c r="C69" s="50"/>
      <c r="D69" s="50"/>
      <c r="E69" s="226" t="s">
        <v>189</v>
      </c>
      <c r="F69" s="1" t="s">
        <v>112</v>
      </c>
      <c r="G69" s="6">
        <v>843</v>
      </c>
      <c r="H69" s="211">
        <v>10</v>
      </c>
      <c r="I69" s="7" t="s">
        <v>9</v>
      </c>
      <c r="J69" s="7" t="s">
        <v>129</v>
      </c>
      <c r="K69" s="211">
        <v>313</v>
      </c>
      <c r="L69" s="32">
        <v>4991.5</v>
      </c>
      <c r="M69" s="32">
        <v>0</v>
      </c>
      <c r="N69" s="32">
        <v>0</v>
      </c>
      <c r="O69" s="30">
        <f t="shared" si="10"/>
        <v>0</v>
      </c>
      <c r="P69" s="30">
        <f t="shared" si="10"/>
        <v>0</v>
      </c>
      <c r="Q69" s="30">
        <f t="shared" si="5"/>
        <v>0</v>
      </c>
      <c r="AK69" s="233">
        <f t="shared" si="4"/>
        <v>0</v>
      </c>
    </row>
    <row r="70" spans="1:38" ht="40.5" hidden="1" customHeight="1">
      <c r="A70" s="50"/>
      <c r="B70" s="50"/>
      <c r="C70" s="50"/>
      <c r="D70" s="50"/>
      <c r="E70" s="226" t="s">
        <v>16</v>
      </c>
      <c r="F70" s="1" t="s">
        <v>112</v>
      </c>
      <c r="G70" s="6">
        <v>843</v>
      </c>
      <c r="H70" s="211">
        <v>10</v>
      </c>
      <c r="I70" s="7" t="s">
        <v>9</v>
      </c>
      <c r="J70" s="8" t="s">
        <v>130</v>
      </c>
      <c r="K70" s="8" t="s">
        <v>50</v>
      </c>
      <c r="L70" s="32">
        <v>547</v>
      </c>
      <c r="M70" s="32">
        <v>0</v>
      </c>
      <c r="N70" s="32">
        <v>0</v>
      </c>
      <c r="O70" s="30">
        <f t="shared" si="10"/>
        <v>0</v>
      </c>
      <c r="P70" s="30">
        <f t="shared" si="10"/>
        <v>0</v>
      </c>
      <c r="Q70" s="30">
        <f t="shared" si="5"/>
        <v>0</v>
      </c>
      <c r="AK70" s="233">
        <f t="shared" si="4"/>
        <v>0</v>
      </c>
    </row>
    <row r="71" spans="1:38" ht="38.25" hidden="1" customHeight="1">
      <c r="A71" s="50"/>
      <c r="B71" s="50"/>
      <c r="C71" s="50"/>
      <c r="D71" s="50"/>
      <c r="E71" s="2" t="s">
        <v>17</v>
      </c>
      <c r="F71" s="1" t="s">
        <v>112</v>
      </c>
      <c r="G71" s="6">
        <v>843</v>
      </c>
      <c r="H71" s="211">
        <v>10</v>
      </c>
      <c r="I71" s="7" t="s">
        <v>7</v>
      </c>
      <c r="J71" s="8" t="s">
        <v>126</v>
      </c>
      <c r="K71" s="6">
        <v>312</v>
      </c>
      <c r="L71" s="32">
        <v>86000.2</v>
      </c>
      <c r="M71" s="32">
        <v>0</v>
      </c>
      <c r="N71" s="32">
        <v>0</v>
      </c>
      <c r="O71" s="30">
        <f t="shared" si="10"/>
        <v>0</v>
      </c>
      <c r="P71" s="30">
        <f t="shared" si="10"/>
        <v>0</v>
      </c>
      <c r="Q71" s="30">
        <f t="shared" si="5"/>
        <v>0</v>
      </c>
      <c r="AK71" s="233">
        <f t="shared" si="4"/>
        <v>0</v>
      </c>
    </row>
    <row r="72" spans="1:38" ht="38.25" hidden="1" customHeight="1">
      <c r="A72" s="50"/>
      <c r="B72" s="50"/>
      <c r="C72" s="50"/>
      <c r="D72" s="50"/>
      <c r="E72" s="226" t="s">
        <v>74</v>
      </c>
      <c r="F72" s="1" t="s">
        <v>112</v>
      </c>
      <c r="G72" s="6">
        <v>843</v>
      </c>
      <c r="H72" s="211">
        <v>10</v>
      </c>
      <c r="I72" s="7" t="s">
        <v>9</v>
      </c>
      <c r="J72" s="8" t="s">
        <v>134</v>
      </c>
      <c r="K72" s="6">
        <v>321</v>
      </c>
      <c r="L72" s="32">
        <v>115.7</v>
      </c>
      <c r="M72" s="32">
        <v>0</v>
      </c>
      <c r="N72" s="32">
        <v>0</v>
      </c>
      <c r="O72" s="30">
        <f t="shared" si="10"/>
        <v>0</v>
      </c>
      <c r="P72" s="30">
        <f t="shared" si="10"/>
        <v>0</v>
      </c>
      <c r="Q72" s="30">
        <f t="shared" si="5"/>
        <v>0</v>
      </c>
      <c r="AK72" s="233">
        <f t="shared" si="4"/>
        <v>0</v>
      </c>
    </row>
    <row r="73" spans="1:38" ht="51" hidden="1" customHeight="1">
      <c r="A73" s="50"/>
      <c r="B73" s="50"/>
      <c r="C73" s="50"/>
      <c r="D73" s="50"/>
      <c r="E73" s="226" t="s">
        <v>18</v>
      </c>
      <c r="F73" s="1" t="s">
        <v>112</v>
      </c>
      <c r="G73" s="6">
        <v>843</v>
      </c>
      <c r="H73" s="211">
        <v>10</v>
      </c>
      <c r="I73" s="7" t="s">
        <v>9</v>
      </c>
      <c r="J73" s="8" t="s">
        <v>131</v>
      </c>
      <c r="K73" s="6">
        <v>321</v>
      </c>
      <c r="L73" s="32">
        <v>61.6</v>
      </c>
      <c r="M73" s="32">
        <v>0</v>
      </c>
      <c r="N73" s="30">
        <f>M73*1.05</f>
        <v>0</v>
      </c>
      <c r="O73" s="30">
        <f t="shared" si="10"/>
        <v>0</v>
      </c>
      <c r="P73" s="30">
        <f t="shared" si="10"/>
        <v>0</v>
      </c>
      <c r="Q73" s="30">
        <f t="shared" si="5"/>
        <v>0</v>
      </c>
      <c r="AK73" s="233">
        <f t="shared" si="4"/>
        <v>0</v>
      </c>
    </row>
    <row r="74" spans="1:38" ht="51" hidden="1" customHeight="1">
      <c r="A74" s="50"/>
      <c r="B74" s="50"/>
      <c r="C74" s="50"/>
      <c r="D74" s="50"/>
      <c r="E74" s="226" t="s">
        <v>19</v>
      </c>
      <c r="F74" s="1" t="s">
        <v>112</v>
      </c>
      <c r="G74" s="6">
        <v>843</v>
      </c>
      <c r="H74" s="8" t="s">
        <v>51</v>
      </c>
      <c r="I74" s="8" t="s">
        <v>9</v>
      </c>
      <c r="J74" s="8" t="s">
        <v>133</v>
      </c>
      <c r="K74" s="8" t="s">
        <v>52</v>
      </c>
      <c r="L74" s="32">
        <v>9998</v>
      </c>
      <c r="M74" s="32">
        <v>0</v>
      </c>
      <c r="N74" s="30">
        <v>0</v>
      </c>
      <c r="O74" s="30">
        <f t="shared" si="10"/>
        <v>0</v>
      </c>
      <c r="P74" s="30">
        <f t="shared" si="10"/>
        <v>0</v>
      </c>
      <c r="Q74" s="30">
        <f t="shared" si="5"/>
        <v>0</v>
      </c>
      <c r="AK74" s="233">
        <f t="shared" si="4"/>
        <v>0</v>
      </c>
    </row>
    <row r="75" spans="1:38" ht="38.25" hidden="1" customHeight="1">
      <c r="A75" s="50"/>
      <c r="B75" s="50"/>
      <c r="C75" s="50"/>
      <c r="D75" s="52"/>
      <c r="E75" s="226" t="s">
        <v>20</v>
      </c>
      <c r="F75" s="1" t="s">
        <v>112</v>
      </c>
      <c r="G75" s="6">
        <v>843</v>
      </c>
      <c r="H75" s="211">
        <v>10</v>
      </c>
      <c r="I75" s="7" t="s">
        <v>9</v>
      </c>
      <c r="J75" s="7" t="s">
        <v>128</v>
      </c>
      <c r="K75" s="211">
        <v>321</v>
      </c>
      <c r="L75" s="33">
        <v>13245</v>
      </c>
      <c r="M75" s="32">
        <v>0</v>
      </c>
      <c r="N75" s="30">
        <v>0</v>
      </c>
      <c r="O75" s="30">
        <f t="shared" si="10"/>
        <v>0</v>
      </c>
      <c r="P75" s="30">
        <f t="shared" si="10"/>
        <v>0</v>
      </c>
      <c r="Q75" s="30">
        <f t="shared" si="5"/>
        <v>0</v>
      </c>
      <c r="AK75" s="233">
        <f t="shared" si="4"/>
        <v>0</v>
      </c>
    </row>
    <row r="76" spans="1:38" ht="51" hidden="1" customHeight="1">
      <c r="A76" s="50"/>
      <c r="B76" s="50"/>
      <c r="C76" s="50"/>
      <c r="D76" s="52"/>
      <c r="E76" s="226" t="s">
        <v>21</v>
      </c>
      <c r="F76" s="1" t="s">
        <v>112</v>
      </c>
      <c r="G76" s="6">
        <v>843</v>
      </c>
      <c r="H76" s="211">
        <v>10</v>
      </c>
      <c r="I76" s="7" t="s">
        <v>9</v>
      </c>
      <c r="J76" s="7" t="s">
        <v>183</v>
      </c>
      <c r="K76" s="211">
        <v>321.32299999999998</v>
      </c>
      <c r="L76" s="33">
        <v>360861.8</v>
      </c>
      <c r="M76" s="32">
        <v>0</v>
      </c>
      <c r="N76" s="30">
        <v>0</v>
      </c>
      <c r="O76" s="30">
        <f t="shared" si="10"/>
        <v>0</v>
      </c>
      <c r="P76" s="30">
        <f t="shared" si="10"/>
        <v>0</v>
      </c>
      <c r="Q76" s="30">
        <f t="shared" si="5"/>
        <v>0</v>
      </c>
      <c r="AK76" s="233">
        <f t="shared" si="4"/>
        <v>0</v>
      </c>
    </row>
    <row r="77" spans="1:38" ht="76.5" hidden="1" customHeight="1">
      <c r="A77" s="50"/>
      <c r="B77" s="50"/>
      <c r="C77" s="50"/>
      <c r="D77" s="52"/>
      <c r="E77" s="44" t="s">
        <v>22</v>
      </c>
      <c r="F77" s="1" t="s">
        <v>112</v>
      </c>
      <c r="G77" s="6">
        <v>843</v>
      </c>
      <c r="H77" s="211">
        <v>10</v>
      </c>
      <c r="I77" s="7" t="s">
        <v>9</v>
      </c>
      <c r="J77" s="7" t="s">
        <v>184</v>
      </c>
      <c r="K77" s="211">
        <v>321.32299999999998</v>
      </c>
      <c r="L77" s="33">
        <v>36893.5</v>
      </c>
      <c r="M77" s="32">
        <v>0</v>
      </c>
      <c r="N77" s="30">
        <v>0</v>
      </c>
      <c r="O77" s="30">
        <f t="shared" si="10"/>
        <v>0</v>
      </c>
      <c r="P77" s="30">
        <f t="shared" si="10"/>
        <v>0</v>
      </c>
      <c r="Q77" s="30">
        <f t="shared" si="5"/>
        <v>0</v>
      </c>
      <c r="AK77" s="233">
        <f t="shared" si="4"/>
        <v>0</v>
      </c>
    </row>
    <row r="78" spans="1:38" ht="38.25" hidden="1" customHeight="1">
      <c r="A78" s="50"/>
      <c r="B78" s="50"/>
      <c r="C78" s="50"/>
      <c r="D78" s="51"/>
      <c r="E78" s="226" t="s">
        <v>23</v>
      </c>
      <c r="F78" s="1" t="s">
        <v>112</v>
      </c>
      <c r="G78" s="6">
        <v>843</v>
      </c>
      <c r="H78" s="211">
        <v>10</v>
      </c>
      <c r="I78" s="7" t="s">
        <v>25</v>
      </c>
      <c r="J78" s="7" t="s">
        <v>132</v>
      </c>
      <c r="K78" s="211">
        <v>630</v>
      </c>
      <c r="L78" s="33">
        <f>2753.9</f>
        <v>2753.9</v>
      </c>
      <c r="M78" s="32">
        <v>0</v>
      </c>
      <c r="N78" s="30"/>
      <c r="O78" s="30">
        <f t="shared" si="10"/>
        <v>0</v>
      </c>
      <c r="P78" s="30">
        <f t="shared" si="10"/>
        <v>0</v>
      </c>
      <c r="Q78" s="30">
        <f t="shared" si="5"/>
        <v>0</v>
      </c>
      <c r="AK78" s="233">
        <f t="shared" si="4"/>
        <v>0</v>
      </c>
    </row>
    <row r="79" spans="1:38" ht="15" customHeight="1">
      <c r="A79" s="501" t="s">
        <v>110</v>
      </c>
      <c r="B79" s="501" t="s">
        <v>8</v>
      </c>
      <c r="C79" s="501"/>
      <c r="D79" s="503"/>
      <c r="E79" s="505" t="s">
        <v>176</v>
      </c>
      <c r="F79" s="1" t="s">
        <v>48</v>
      </c>
      <c r="G79" s="6"/>
      <c r="H79" s="6"/>
      <c r="I79" s="8"/>
      <c r="J79" s="8"/>
      <c r="K79" s="6"/>
      <c r="L79" s="30">
        <f>L80+L81+L82</f>
        <v>1950521.87</v>
      </c>
      <c r="M79" s="30">
        <f>M80+M81+M82</f>
        <v>1730595.9</v>
      </c>
      <c r="N79" s="30">
        <f>N80+N81+N82</f>
        <v>1485640.5999999996</v>
      </c>
      <c r="O79" s="30">
        <f>O80+O81+O82</f>
        <v>1559922.6800000004</v>
      </c>
      <c r="P79" s="30">
        <f>P80+P81+P82</f>
        <v>1637918.774</v>
      </c>
      <c r="Q79" s="30">
        <f>P79*1.05</f>
        <v>1719814.7127</v>
      </c>
      <c r="R79" s="26">
        <v>1950521.8</v>
      </c>
      <c r="S79" s="56">
        <f>R79-L79</f>
        <v>-7.000000006519258E-2</v>
      </c>
      <c r="AK79" s="233">
        <f t="shared" si="4"/>
        <v>0</v>
      </c>
    </row>
    <row r="80" spans="1:38" ht="38.25">
      <c r="A80" s="527"/>
      <c r="B80" s="527"/>
      <c r="C80" s="527"/>
      <c r="D80" s="518"/>
      <c r="E80" s="515"/>
      <c r="F80" s="1" t="s">
        <v>112</v>
      </c>
      <c r="G80" s="6">
        <v>843</v>
      </c>
      <c r="H80" s="6"/>
      <c r="I80" s="8"/>
      <c r="J80" s="8" t="s">
        <v>382</v>
      </c>
      <c r="K80" s="6"/>
      <c r="L80" s="30">
        <f>L83+L94+L97+L99+L102+L123+L108+L117</f>
        <v>1923268.1700000002</v>
      </c>
      <c r="M80" s="30">
        <f>M83+M94+M97+M99+M102+M123+M127+M108+M117</f>
        <v>1673285.2</v>
      </c>
      <c r="N80" s="30">
        <f>N83+N94+N97+N99+N102+N123+N127+N108+N117</f>
        <v>1447287.2999999996</v>
      </c>
      <c r="O80" s="30">
        <f>O83+O94+O97+O99+O102+O123+O127+O108+O117</f>
        <v>1519651.7150000003</v>
      </c>
      <c r="P80" s="30">
        <f>P83+P94+P97+P99+P102+P123+P127+P108+P117</f>
        <v>1595634.2607499999</v>
      </c>
      <c r="Q80" s="30">
        <f>Q83+Q94+Q97+Q99+Q113+Q102+Q123+Q127+Q108+Q117</f>
        <v>1675442.2518750001</v>
      </c>
      <c r="R80" s="26">
        <v>1923268.1</v>
      </c>
      <c r="S80" s="56">
        <f>R80-L80</f>
        <v>-7.000000006519258E-2</v>
      </c>
      <c r="AF80" s="238"/>
      <c r="AG80" s="238">
        <f>AG83+AG94+AG97+AG99+AG102+AG108</f>
        <v>1661706.4000000001</v>
      </c>
      <c r="AH80" s="238">
        <f>AH83+AH94+AH97+AH99+AH102+AH108</f>
        <v>-2100</v>
      </c>
      <c r="AI80" s="238">
        <f>AI83+AI94+AI97+AI99+AI102+AI108</f>
        <v>-208.5</v>
      </c>
      <c r="AJ80" s="238">
        <f>AJ83+AJ94+AJ97+AJ99+AJ102+AJ108</f>
        <v>68198</v>
      </c>
      <c r="AK80" s="240">
        <f>AK83+AK94+AK97+AK99+AK102+AK108</f>
        <v>1727595.9000000001</v>
      </c>
      <c r="AL80" s="26">
        <v>1673285.2</v>
      </c>
    </row>
    <row r="81" spans="1:37" ht="25.5">
      <c r="A81" s="527"/>
      <c r="B81" s="527"/>
      <c r="C81" s="527"/>
      <c r="D81" s="518"/>
      <c r="E81" s="515"/>
      <c r="F81" s="1" t="s">
        <v>120</v>
      </c>
      <c r="G81" s="6">
        <v>855</v>
      </c>
      <c r="H81" s="6"/>
      <c r="I81" s="8"/>
      <c r="J81" s="8" t="s">
        <v>382</v>
      </c>
      <c r="K81" s="6"/>
      <c r="L81" s="30">
        <f>L103</f>
        <v>26527</v>
      </c>
      <c r="M81" s="30">
        <f t="shared" ref="M81:P82" si="11">M103</f>
        <v>57310.7</v>
      </c>
      <c r="N81" s="30">
        <f t="shared" si="11"/>
        <v>38353.300000000003</v>
      </c>
      <c r="O81" s="30">
        <f t="shared" si="11"/>
        <v>40270.965000000004</v>
      </c>
      <c r="P81" s="30">
        <f t="shared" si="11"/>
        <v>42284.513250000004</v>
      </c>
      <c r="Q81" s="30">
        <f t="shared" si="5"/>
        <v>44398.738912500005</v>
      </c>
      <c r="AG81" s="233">
        <f>AG103</f>
        <v>57310.7</v>
      </c>
      <c r="AH81" s="233">
        <f>AH103</f>
        <v>-3000</v>
      </c>
      <c r="AI81" s="233">
        <f>AI103</f>
        <v>0</v>
      </c>
      <c r="AJ81" s="233">
        <f>AJ103</f>
        <v>0</v>
      </c>
      <c r="AK81" s="233">
        <f>AG81+AH81+AI81+AJ81</f>
        <v>54310.7</v>
      </c>
    </row>
    <row r="82" spans="1:37" ht="38.25">
      <c r="A82" s="502"/>
      <c r="B82" s="502"/>
      <c r="C82" s="502"/>
      <c r="D82" s="504"/>
      <c r="E82" s="506"/>
      <c r="F82" s="1" t="s">
        <v>172</v>
      </c>
      <c r="G82" s="6">
        <v>835</v>
      </c>
      <c r="H82" s="6"/>
      <c r="I82" s="8"/>
      <c r="J82" s="8" t="s">
        <v>382</v>
      </c>
      <c r="K82" s="6"/>
      <c r="L82" s="30">
        <f>L104</f>
        <v>726.7</v>
      </c>
      <c r="M82" s="30">
        <f t="shared" si="11"/>
        <v>0</v>
      </c>
      <c r="N82" s="30">
        <f t="shared" si="11"/>
        <v>0</v>
      </c>
      <c r="O82" s="30">
        <f t="shared" si="11"/>
        <v>0</v>
      </c>
      <c r="P82" s="30">
        <f t="shared" si="11"/>
        <v>0</v>
      </c>
      <c r="Q82" s="30">
        <f t="shared" si="5"/>
        <v>0</v>
      </c>
      <c r="AK82" s="233">
        <f t="shared" si="4"/>
        <v>0</v>
      </c>
    </row>
    <row r="83" spans="1:37" ht="38.25">
      <c r="A83" s="225" t="s">
        <v>110</v>
      </c>
      <c r="B83" s="225" t="s">
        <v>8</v>
      </c>
      <c r="C83" s="225" t="s">
        <v>7</v>
      </c>
      <c r="D83" s="6"/>
      <c r="E83" s="1" t="s">
        <v>470</v>
      </c>
      <c r="F83" s="1" t="s">
        <v>112</v>
      </c>
      <c r="G83" s="6">
        <v>843</v>
      </c>
      <c r="H83" s="6">
        <v>10</v>
      </c>
      <c r="I83" s="8" t="s">
        <v>9</v>
      </c>
      <c r="J83" s="8" t="s">
        <v>381</v>
      </c>
      <c r="K83" s="211" t="s">
        <v>472</v>
      </c>
      <c r="L83" s="32">
        <f>SUM(L84:L93)+0.05</f>
        <v>1149209.48</v>
      </c>
      <c r="M83" s="32">
        <f>SUM(M84:M93)</f>
        <v>1361448.9</v>
      </c>
      <c r="N83" s="32">
        <f>SUM(N84:N93)</f>
        <v>1248231.6999999997</v>
      </c>
      <c r="O83" s="32">
        <f>SUM(O84:O93)</f>
        <v>1310643.3350000002</v>
      </c>
      <c r="P83" s="32">
        <f>SUM(P84:P93)</f>
        <v>1376175.46175</v>
      </c>
      <c r="Q83" s="32">
        <f>SUM(Q84:Q93)</f>
        <v>1444984.2348375001</v>
      </c>
      <c r="AG83" s="233">
        <v>1320635.2</v>
      </c>
      <c r="AJ83" s="233">
        <v>40813.699999999997</v>
      </c>
      <c r="AK83" s="233">
        <f t="shared" si="4"/>
        <v>1361448.9</v>
      </c>
    </row>
    <row r="84" spans="1:37" ht="51" hidden="1" customHeight="1">
      <c r="A84" s="225" t="s">
        <v>110</v>
      </c>
      <c r="B84" s="225" t="s">
        <v>8</v>
      </c>
      <c r="C84" s="225" t="s">
        <v>7</v>
      </c>
      <c r="D84" s="8" t="s">
        <v>7</v>
      </c>
      <c r="E84" s="57" t="s">
        <v>192</v>
      </c>
      <c r="F84" s="216" t="s">
        <v>112</v>
      </c>
      <c r="G84" s="217">
        <v>843</v>
      </c>
      <c r="H84" s="213" t="s">
        <v>51</v>
      </c>
      <c r="I84" s="213" t="s">
        <v>9</v>
      </c>
      <c r="J84" s="7" t="s">
        <v>261</v>
      </c>
      <c r="K84" s="8" t="s">
        <v>383</v>
      </c>
      <c r="L84" s="32">
        <v>5824.17</v>
      </c>
      <c r="M84" s="32">
        <v>9000</v>
      </c>
      <c r="N84" s="30">
        <v>4995</v>
      </c>
      <c r="O84" s="30">
        <v>5244.8</v>
      </c>
      <c r="P84" s="30">
        <v>5507</v>
      </c>
      <c r="Q84" s="30">
        <f t="shared" si="5"/>
        <v>5782.35</v>
      </c>
      <c r="AK84" s="233">
        <f t="shared" si="4"/>
        <v>0</v>
      </c>
    </row>
    <row r="85" spans="1:37" ht="38.25" hidden="1" customHeight="1">
      <c r="A85" s="225" t="s">
        <v>110</v>
      </c>
      <c r="B85" s="225" t="s">
        <v>8</v>
      </c>
      <c r="C85" s="225" t="s">
        <v>7</v>
      </c>
      <c r="D85" s="8" t="s">
        <v>8</v>
      </c>
      <c r="E85" s="226" t="s">
        <v>24</v>
      </c>
      <c r="F85" s="1" t="s">
        <v>112</v>
      </c>
      <c r="G85" s="6">
        <v>843</v>
      </c>
      <c r="H85" s="8" t="s">
        <v>51</v>
      </c>
      <c r="I85" s="8" t="s">
        <v>9</v>
      </c>
      <c r="J85" s="7" t="s">
        <v>262</v>
      </c>
      <c r="K85" s="211" t="s">
        <v>370</v>
      </c>
      <c r="L85" s="32">
        <v>320736.36</v>
      </c>
      <c r="M85" s="32">
        <f>348327.3+7781.9</f>
        <v>356109.2</v>
      </c>
      <c r="N85" s="30">
        <v>308969.09999999998</v>
      </c>
      <c r="O85" s="30">
        <f t="shared" ref="O85:Q100" si="12">N85*1.05</f>
        <v>324417.55499999999</v>
      </c>
      <c r="P85" s="30">
        <f t="shared" si="12"/>
        <v>340638.43274999998</v>
      </c>
      <c r="Q85" s="30">
        <f t="shared" si="5"/>
        <v>357670.35438749997</v>
      </c>
      <c r="AK85" s="233">
        <f t="shared" si="4"/>
        <v>0</v>
      </c>
    </row>
    <row r="86" spans="1:37" ht="38.25" hidden="1" customHeight="1">
      <c r="A86" s="225" t="s">
        <v>110</v>
      </c>
      <c r="B86" s="225" t="s">
        <v>8</v>
      </c>
      <c r="C86" s="225" t="s">
        <v>7</v>
      </c>
      <c r="D86" s="8" t="s">
        <v>9</v>
      </c>
      <c r="E86" s="1" t="s">
        <v>263</v>
      </c>
      <c r="F86" s="1" t="s">
        <v>112</v>
      </c>
      <c r="G86" s="6">
        <v>843</v>
      </c>
      <c r="H86" s="8" t="s">
        <v>51</v>
      </c>
      <c r="I86" s="8" t="s">
        <v>9</v>
      </c>
      <c r="J86" s="7" t="s">
        <v>264</v>
      </c>
      <c r="K86" s="8" t="s">
        <v>370</v>
      </c>
      <c r="L86" s="32">
        <v>28086.7</v>
      </c>
      <c r="M86" s="32">
        <f>33203.6-3900</f>
        <v>29303.599999999999</v>
      </c>
      <c r="N86" s="30">
        <v>30824.5</v>
      </c>
      <c r="O86" s="30">
        <f t="shared" si="12"/>
        <v>32365.725000000002</v>
      </c>
      <c r="P86" s="30">
        <f t="shared" si="12"/>
        <v>33984.011250000003</v>
      </c>
      <c r="Q86" s="30">
        <f t="shared" si="5"/>
        <v>35683.211812500005</v>
      </c>
      <c r="AK86" s="233">
        <f t="shared" si="4"/>
        <v>0</v>
      </c>
    </row>
    <row r="87" spans="1:37" ht="63.75" hidden="1" customHeight="1">
      <c r="A87" s="7" t="s">
        <v>110</v>
      </c>
      <c r="B87" s="8" t="s">
        <v>8</v>
      </c>
      <c r="C87" s="8" t="s">
        <v>7</v>
      </c>
      <c r="D87" s="7" t="s">
        <v>10</v>
      </c>
      <c r="E87" s="1" t="s">
        <v>265</v>
      </c>
      <c r="F87" s="1" t="s">
        <v>112</v>
      </c>
      <c r="G87" s="6">
        <v>843</v>
      </c>
      <c r="H87" s="8" t="s">
        <v>51</v>
      </c>
      <c r="I87" s="8" t="s">
        <v>9</v>
      </c>
      <c r="J87" s="7" t="s">
        <v>266</v>
      </c>
      <c r="K87" s="7" t="s">
        <v>384</v>
      </c>
      <c r="L87" s="32">
        <v>541542</v>
      </c>
      <c r="M87" s="32">
        <v>595812.19999999995</v>
      </c>
      <c r="N87" s="30">
        <f>14.7+593381.3</f>
        <v>593396</v>
      </c>
      <c r="O87" s="30">
        <f t="shared" si="12"/>
        <v>623065.80000000005</v>
      </c>
      <c r="P87" s="30">
        <f t="shared" si="12"/>
        <v>654219.09000000008</v>
      </c>
      <c r="Q87" s="30">
        <f t="shared" si="5"/>
        <v>686930.04450000008</v>
      </c>
      <c r="AK87" s="233">
        <f t="shared" si="4"/>
        <v>0</v>
      </c>
    </row>
    <row r="88" spans="1:37" ht="63.75" hidden="1" customHeight="1">
      <c r="A88" s="7" t="s">
        <v>110</v>
      </c>
      <c r="B88" s="8" t="s">
        <v>8</v>
      </c>
      <c r="C88" s="8" t="s">
        <v>7</v>
      </c>
      <c r="D88" s="7" t="s">
        <v>33</v>
      </c>
      <c r="E88" s="1" t="s">
        <v>267</v>
      </c>
      <c r="F88" s="1" t="s">
        <v>112</v>
      </c>
      <c r="G88" s="6">
        <v>843</v>
      </c>
      <c r="H88" s="8" t="s">
        <v>51</v>
      </c>
      <c r="I88" s="8" t="s">
        <v>9</v>
      </c>
      <c r="J88" s="7" t="s">
        <v>268</v>
      </c>
      <c r="K88" s="7" t="s">
        <v>385</v>
      </c>
      <c r="L88" s="32">
        <v>55433.5</v>
      </c>
      <c r="M88" s="32">
        <f>1.3+52667</f>
        <v>52668.3</v>
      </c>
      <c r="N88" s="30">
        <f>1.3+54773.9</f>
        <v>54775.200000000004</v>
      </c>
      <c r="O88" s="30">
        <f t="shared" si="12"/>
        <v>57513.960000000006</v>
      </c>
      <c r="P88" s="30">
        <f t="shared" si="12"/>
        <v>60389.65800000001</v>
      </c>
      <c r="Q88" s="30">
        <f t="shared" si="5"/>
        <v>63409.140900000013</v>
      </c>
      <c r="AK88" s="233">
        <f t="shared" si="4"/>
        <v>0</v>
      </c>
    </row>
    <row r="89" spans="1:37" ht="76.5" hidden="1" customHeight="1">
      <c r="A89" s="7" t="s">
        <v>110</v>
      </c>
      <c r="B89" s="8" t="s">
        <v>8</v>
      </c>
      <c r="C89" s="8" t="s">
        <v>7</v>
      </c>
      <c r="D89" s="7" t="s">
        <v>25</v>
      </c>
      <c r="E89" s="1" t="s">
        <v>269</v>
      </c>
      <c r="F89" s="1" t="s">
        <v>112</v>
      </c>
      <c r="G89" s="6">
        <v>843</v>
      </c>
      <c r="H89" s="8" t="s">
        <v>51</v>
      </c>
      <c r="I89" s="8" t="s">
        <v>9</v>
      </c>
      <c r="J89" s="7" t="s">
        <v>270</v>
      </c>
      <c r="K89" s="7" t="s">
        <v>386</v>
      </c>
      <c r="L89" s="32">
        <v>0</v>
      </c>
      <c r="M89" s="32">
        <v>1</v>
      </c>
      <c r="N89" s="30">
        <v>1.1000000000000001</v>
      </c>
      <c r="O89" s="30">
        <f t="shared" si="12"/>
        <v>1.1550000000000002</v>
      </c>
      <c r="P89" s="30">
        <f t="shared" si="12"/>
        <v>1.2127500000000002</v>
      </c>
      <c r="Q89" s="30">
        <f t="shared" si="5"/>
        <v>1.2733875000000003</v>
      </c>
      <c r="AK89" s="233">
        <f t="shared" si="4"/>
        <v>0</v>
      </c>
    </row>
    <row r="90" spans="1:37" ht="63.75" hidden="1" customHeight="1">
      <c r="A90" s="7" t="s">
        <v>110</v>
      </c>
      <c r="B90" s="8" t="s">
        <v>8</v>
      </c>
      <c r="C90" s="8" t="s">
        <v>7</v>
      </c>
      <c r="D90" s="7" t="s">
        <v>6</v>
      </c>
      <c r="E90" s="1" t="s">
        <v>271</v>
      </c>
      <c r="F90" s="1" t="s">
        <v>112</v>
      </c>
      <c r="G90" s="6">
        <v>843</v>
      </c>
      <c r="H90" s="8" t="s">
        <v>51</v>
      </c>
      <c r="I90" s="8" t="s">
        <v>9</v>
      </c>
      <c r="J90" s="7" t="s">
        <v>273</v>
      </c>
      <c r="K90" s="7" t="s">
        <v>386</v>
      </c>
      <c r="L90" s="32">
        <v>0</v>
      </c>
      <c r="M90" s="32">
        <v>2.9</v>
      </c>
      <c r="N90" s="30">
        <v>3</v>
      </c>
      <c r="O90" s="30">
        <f t="shared" si="12"/>
        <v>3.1500000000000004</v>
      </c>
      <c r="P90" s="30">
        <f t="shared" si="12"/>
        <v>3.3075000000000006</v>
      </c>
      <c r="Q90" s="30">
        <f t="shared" si="5"/>
        <v>3.4728750000000006</v>
      </c>
      <c r="AK90" s="233">
        <f t="shared" si="4"/>
        <v>0</v>
      </c>
    </row>
    <row r="91" spans="1:37" ht="37.5" hidden="1" customHeight="1">
      <c r="A91" s="220" t="s">
        <v>110</v>
      </c>
      <c r="B91" s="225" t="s">
        <v>8</v>
      </c>
      <c r="C91" s="220" t="s">
        <v>7</v>
      </c>
      <c r="D91" s="8" t="s">
        <v>34</v>
      </c>
      <c r="E91" s="44" t="s">
        <v>272</v>
      </c>
      <c r="F91" s="1" t="s">
        <v>112</v>
      </c>
      <c r="G91" s="6">
        <v>843</v>
      </c>
      <c r="H91" s="8" t="s">
        <v>51</v>
      </c>
      <c r="I91" s="8" t="s">
        <v>9</v>
      </c>
      <c r="J91" s="7" t="s">
        <v>274</v>
      </c>
      <c r="K91" s="7" t="s">
        <v>370</v>
      </c>
      <c r="L91" s="32">
        <v>181731.6</v>
      </c>
      <c r="M91" s="31">
        <f>255900+36931.8</f>
        <v>292831.8</v>
      </c>
      <c r="N91" s="30">
        <v>234035.7</v>
      </c>
      <c r="O91" s="30">
        <f t="shared" si="12"/>
        <v>245737.48500000002</v>
      </c>
      <c r="P91" s="30">
        <f t="shared" si="12"/>
        <v>258024.35925000004</v>
      </c>
      <c r="Q91" s="30">
        <f t="shared" si="5"/>
        <v>270925.57721250004</v>
      </c>
      <c r="AK91" s="233">
        <f t="shared" si="4"/>
        <v>0</v>
      </c>
    </row>
    <row r="92" spans="1:37" ht="63" hidden="1" customHeight="1">
      <c r="A92" s="225" t="s">
        <v>110</v>
      </c>
      <c r="B92" s="225" t="s">
        <v>8</v>
      </c>
      <c r="C92" s="225" t="s">
        <v>7</v>
      </c>
      <c r="D92" s="8" t="s">
        <v>35</v>
      </c>
      <c r="E92" s="226" t="s">
        <v>275</v>
      </c>
      <c r="F92" s="1" t="s">
        <v>112</v>
      </c>
      <c r="G92" s="6">
        <v>843</v>
      </c>
      <c r="H92" s="211">
        <v>10</v>
      </c>
      <c r="I92" s="7" t="s">
        <v>9</v>
      </c>
      <c r="J92" s="7" t="s">
        <v>276</v>
      </c>
      <c r="K92" s="7" t="s">
        <v>370</v>
      </c>
      <c r="L92" s="32">
        <v>14715.9</v>
      </c>
      <c r="M92" s="31">
        <v>24438.9</v>
      </c>
      <c r="N92" s="30">
        <v>19952.400000000001</v>
      </c>
      <c r="O92" s="30">
        <f t="shared" si="12"/>
        <v>20950.020000000004</v>
      </c>
      <c r="P92" s="30">
        <f t="shared" si="12"/>
        <v>21997.521000000004</v>
      </c>
      <c r="Q92" s="30">
        <f t="shared" si="5"/>
        <v>23097.397050000007</v>
      </c>
      <c r="AK92" s="233">
        <f t="shared" si="4"/>
        <v>0</v>
      </c>
    </row>
    <row r="93" spans="1:37" ht="51" hidden="1" customHeight="1">
      <c r="A93" s="225" t="s">
        <v>110</v>
      </c>
      <c r="B93" s="225" t="s">
        <v>8</v>
      </c>
      <c r="C93" s="225" t="s">
        <v>7</v>
      </c>
      <c r="D93" s="8" t="s">
        <v>51</v>
      </c>
      <c r="E93" s="226" t="s">
        <v>277</v>
      </c>
      <c r="F93" s="1" t="s">
        <v>112</v>
      </c>
      <c r="G93" s="6">
        <v>843</v>
      </c>
      <c r="H93" s="8" t="s">
        <v>51</v>
      </c>
      <c r="I93" s="8" t="s">
        <v>9</v>
      </c>
      <c r="J93" s="7" t="s">
        <v>278</v>
      </c>
      <c r="K93" s="7" t="s">
        <v>387</v>
      </c>
      <c r="L93" s="32">
        <v>1139.2</v>
      </c>
      <c r="M93" s="32">
        <v>1281</v>
      </c>
      <c r="N93" s="30">
        <v>1279.7</v>
      </c>
      <c r="O93" s="30">
        <f t="shared" si="12"/>
        <v>1343.6850000000002</v>
      </c>
      <c r="P93" s="30">
        <f t="shared" si="12"/>
        <v>1410.8692500000002</v>
      </c>
      <c r="Q93" s="30">
        <f t="shared" si="5"/>
        <v>1481.4127125000002</v>
      </c>
      <c r="AK93" s="233">
        <f t="shared" ref="AK93:AK156" si="13">AG93+AH93+AI93+AJ93</f>
        <v>0</v>
      </c>
    </row>
    <row r="94" spans="1:37" ht="38.25">
      <c r="A94" s="225" t="s">
        <v>110</v>
      </c>
      <c r="B94" s="225" t="s">
        <v>8</v>
      </c>
      <c r="C94" s="225" t="s">
        <v>8</v>
      </c>
      <c r="D94" s="8"/>
      <c r="E94" s="226" t="s">
        <v>279</v>
      </c>
      <c r="F94" s="1" t="s">
        <v>112</v>
      </c>
      <c r="G94" s="6">
        <v>843</v>
      </c>
      <c r="H94" s="8" t="s">
        <v>51</v>
      </c>
      <c r="I94" s="8" t="s">
        <v>9</v>
      </c>
      <c r="J94" s="7" t="s">
        <v>280</v>
      </c>
      <c r="K94" s="7" t="s">
        <v>388</v>
      </c>
      <c r="L94" s="32">
        <f t="shared" ref="L94:Q94" si="14">L95+L96+L126</f>
        <v>1500</v>
      </c>
      <c r="M94" s="32">
        <f t="shared" si="14"/>
        <v>1575</v>
      </c>
      <c r="N94" s="32">
        <f t="shared" si="14"/>
        <v>1573.5</v>
      </c>
      <c r="O94" s="32">
        <f t="shared" si="14"/>
        <v>1652.1750000000002</v>
      </c>
      <c r="P94" s="32">
        <f t="shared" si="14"/>
        <v>1734.7837500000001</v>
      </c>
      <c r="Q94" s="32">
        <f t="shared" si="14"/>
        <v>1821.5229375000001</v>
      </c>
      <c r="AG94" s="233">
        <v>1575</v>
      </c>
      <c r="AK94" s="233">
        <f t="shared" si="13"/>
        <v>1575</v>
      </c>
    </row>
    <row r="95" spans="1:37" ht="38.25" hidden="1" customHeight="1">
      <c r="A95" s="225" t="s">
        <v>110</v>
      </c>
      <c r="B95" s="225" t="s">
        <v>8</v>
      </c>
      <c r="C95" s="225" t="s">
        <v>8</v>
      </c>
      <c r="D95" s="7" t="s">
        <v>7</v>
      </c>
      <c r="E95" s="44" t="s">
        <v>281</v>
      </c>
      <c r="F95" s="1" t="s">
        <v>112</v>
      </c>
      <c r="G95" s="6">
        <v>843</v>
      </c>
      <c r="H95" s="8" t="s">
        <v>51</v>
      </c>
      <c r="I95" s="8" t="s">
        <v>9</v>
      </c>
      <c r="J95" s="7" t="s">
        <v>282</v>
      </c>
      <c r="K95" s="7" t="s">
        <v>370</v>
      </c>
      <c r="L95" s="32">
        <v>1020</v>
      </c>
      <c r="M95" s="32">
        <v>1050</v>
      </c>
      <c r="N95" s="30">
        <v>1049</v>
      </c>
      <c r="O95" s="30">
        <f t="shared" si="12"/>
        <v>1101.45</v>
      </c>
      <c r="P95" s="30">
        <f t="shared" si="12"/>
        <v>1156.5225</v>
      </c>
      <c r="Q95" s="30">
        <f t="shared" si="12"/>
        <v>1214.3486250000001</v>
      </c>
      <c r="AK95" s="233">
        <f t="shared" si="13"/>
        <v>0</v>
      </c>
    </row>
    <row r="96" spans="1:37" ht="38.25" hidden="1" customHeight="1">
      <c r="A96" s="225" t="s">
        <v>110</v>
      </c>
      <c r="B96" s="225" t="s">
        <v>8</v>
      </c>
      <c r="C96" s="225" t="s">
        <v>8</v>
      </c>
      <c r="D96" s="7" t="s">
        <v>8</v>
      </c>
      <c r="E96" s="44" t="s">
        <v>283</v>
      </c>
      <c r="F96" s="1" t="s">
        <v>112</v>
      </c>
      <c r="G96" s="6">
        <v>843</v>
      </c>
      <c r="H96" s="8" t="s">
        <v>51</v>
      </c>
      <c r="I96" s="8" t="s">
        <v>9</v>
      </c>
      <c r="J96" s="7" t="s">
        <v>284</v>
      </c>
      <c r="K96" s="7" t="s">
        <v>388</v>
      </c>
      <c r="L96" s="32"/>
      <c r="M96" s="31">
        <v>525</v>
      </c>
      <c r="N96" s="30">
        <v>524.5</v>
      </c>
      <c r="O96" s="30">
        <f>N96*1.05</f>
        <v>550.72500000000002</v>
      </c>
      <c r="P96" s="30">
        <f>O96*1.05</f>
        <v>578.26125000000002</v>
      </c>
      <c r="Q96" s="30">
        <f t="shared" si="12"/>
        <v>607.17431250000004</v>
      </c>
      <c r="AK96" s="233">
        <f t="shared" si="13"/>
        <v>0</v>
      </c>
    </row>
    <row r="97" spans="1:37" ht="38.25">
      <c r="A97" s="225" t="s">
        <v>110</v>
      </c>
      <c r="B97" s="225" t="s">
        <v>8</v>
      </c>
      <c r="C97" s="225" t="s">
        <v>9</v>
      </c>
      <c r="D97" s="219"/>
      <c r="E97" s="44" t="s">
        <v>394</v>
      </c>
      <c r="F97" s="1" t="s">
        <v>112</v>
      </c>
      <c r="G97" s="6">
        <v>843</v>
      </c>
      <c r="H97" s="8" t="s">
        <v>51</v>
      </c>
      <c r="I97" s="8" t="s">
        <v>9</v>
      </c>
      <c r="J97" s="7" t="s">
        <v>285</v>
      </c>
      <c r="K97" s="8" t="s">
        <v>473</v>
      </c>
      <c r="L97" s="32">
        <f t="shared" ref="L97:Q97" si="15">L98</f>
        <v>7849.5</v>
      </c>
      <c r="M97" s="32">
        <f t="shared" si="15"/>
        <v>9168.2999999999993</v>
      </c>
      <c r="N97" s="32">
        <f t="shared" si="15"/>
        <v>6590.2</v>
      </c>
      <c r="O97" s="32">
        <f t="shared" si="15"/>
        <v>6919.71</v>
      </c>
      <c r="P97" s="32">
        <f t="shared" si="15"/>
        <v>7265.6955000000007</v>
      </c>
      <c r="Q97" s="32">
        <f t="shared" si="15"/>
        <v>7628.9802750000008</v>
      </c>
      <c r="AG97" s="233">
        <v>8503</v>
      </c>
      <c r="AJ97" s="233">
        <v>665.3</v>
      </c>
      <c r="AK97" s="233">
        <f t="shared" si="13"/>
        <v>9168.2999999999993</v>
      </c>
    </row>
    <row r="98" spans="1:37" ht="51" hidden="1" customHeight="1">
      <c r="A98" s="220" t="s">
        <v>110</v>
      </c>
      <c r="B98" s="225" t="s">
        <v>8</v>
      </c>
      <c r="C98" s="220" t="s">
        <v>9</v>
      </c>
      <c r="D98" s="7" t="s">
        <v>7</v>
      </c>
      <c r="E98" s="44" t="s">
        <v>191</v>
      </c>
      <c r="F98" s="1" t="s">
        <v>112</v>
      </c>
      <c r="G98" s="6">
        <v>843</v>
      </c>
      <c r="H98" s="7" t="s">
        <v>6</v>
      </c>
      <c r="I98" s="8" t="s">
        <v>6</v>
      </c>
      <c r="J98" s="7" t="s">
        <v>286</v>
      </c>
      <c r="K98" s="211">
        <v>621</v>
      </c>
      <c r="L98" s="32">
        <v>7849.5</v>
      </c>
      <c r="M98" s="32">
        <f>8503+665.3</f>
        <v>9168.2999999999993</v>
      </c>
      <c r="N98" s="30">
        <v>6590.2</v>
      </c>
      <c r="O98" s="30">
        <f>N98*1.05</f>
        <v>6919.71</v>
      </c>
      <c r="P98" s="30">
        <f>O98*1.05</f>
        <v>7265.6955000000007</v>
      </c>
      <c r="Q98" s="30">
        <f t="shared" si="12"/>
        <v>7628.9802750000008</v>
      </c>
      <c r="AK98" s="233">
        <f t="shared" si="13"/>
        <v>0</v>
      </c>
    </row>
    <row r="99" spans="1:37" ht="38.25">
      <c r="A99" s="225" t="s">
        <v>110</v>
      </c>
      <c r="B99" s="225" t="s">
        <v>8</v>
      </c>
      <c r="C99" s="225" t="s">
        <v>10</v>
      </c>
      <c r="D99" s="6"/>
      <c r="E99" s="44" t="s">
        <v>287</v>
      </c>
      <c r="F99" s="1" t="s">
        <v>112</v>
      </c>
      <c r="G99" s="6">
        <v>843</v>
      </c>
      <c r="H99" s="6">
        <v>10</v>
      </c>
      <c r="I99" s="8" t="s">
        <v>10</v>
      </c>
      <c r="J99" s="8" t="s">
        <v>288</v>
      </c>
      <c r="K99" s="6">
        <v>240</v>
      </c>
      <c r="L99" s="32">
        <f t="shared" ref="L99:Q99" si="16">SUM(L100:L101)</f>
        <v>0</v>
      </c>
      <c r="M99" s="32">
        <f t="shared" si="16"/>
        <v>146.6</v>
      </c>
      <c r="N99" s="32">
        <f t="shared" si="16"/>
        <v>149.5</v>
      </c>
      <c r="O99" s="32">
        <f t="shared" si="16"/>
        <v>156.97500000000002</v>
      </c>
      <c r="P99" s="32">
        <f t="shared" si="16"/>
        <v>164.82375000000002</v>
      </c>
      <c r="Q99" s="32">
        <f t="shared" si="16"/>
        <v>173.06493750000001</v>
      </c>
      <c r="AG99" s="233">
        <v>149.6</v>
      </c>
      <c r="AI99" s="233">
        <v>-3</v>
      </c>
      <c r="AK99" s="233">
        <f t="shared" si="13"/>
        <v>146.6</v>
      </c>
    </row>
    <row r="100" spans="1:37" ht="178.5" hidden="1" customHeight="1">
      <c r="A100" s="225" t="s">
        <v>110</v>
      </c>
      <c r="B100" s="225" t="s">
        <v>8</v>
      </c>
      <c r="C100" s="225" t="s">
        <v>10</v>
      </c>
      <c r="D100" s="8" t="s">
        <v>7</v>
      </c>
      <c r="E100" s="44" t="s">
        <v>289</v>
      </c>
      <c r="F100" s="1" t="s">
        <v>112</v>
      </c>
      <c r="G100" s="6">
        <v>843</v>
      </c>
      <c r="H100" s="211">
        <v>10</v>
      </c>
      <c r="I100" s="8" t="s">
        <v>10</v>
      </c>
      <c r="J100" s="7" t="s">
        <v>290</v>
      </c>
      <c r="K100" s="211" t="s">
        <v>389</v>
      </c>
      <c r="L100" s="32">
        <v>0</v>
      </c>
      <c r="M100" s="31">
        <v>137.5</v>
      </c>
      <c r="N100" s="30">
        <v>137.4</v>
      </c>
      <c r="O100" s="30">
        <f>N100*1.05</f>
        <v>144.27000000000001</v>
      </c>
      <c r="P100" s="30">
        <f>O100*1.05</f>
        <v>151.48350000000002</v>
      </c>
      <c r="Q100" s="30">
        <f t="shared" si="12"/>
        <v>159.05767500000002</v>
      </c>
      <c r="AK100" s="233">
        <f t="shared" si="13"/>
        <v>0</v>
      </c>
    </row>
    <row r="101" spans="1:37" ht="76.5" hidden="1" customHeight="1">
      <c r="A101" s="225" t="s">
        <v>110</v>
      </c>
      <c r="B101" s="225" t="s">
        <v>8</v>
      </c>
      <c r="C101" s="225" t="s">
        <v>10</v>
      </c>
      <c r="D101" s="8" t="s">
        <v>8</v>
      </c>
      <c r="E101" s="44" t="s">
        <v>292</v>
      </c>
      <c r="F101" s="1" t="s">
        <v>112</v>
      </c>
      <c r="G101" s="6">
        <v>843</v>
      </c>
      <c r="H101" s="211">
        <v>10</v>
      </c>
      <c r="I101" s="8" t="s">
        <v>10</v>
      </c>
      <c r="J101" s="7" t="s">
        <v>291</v>
      </c>
      <c r="K101" s="211" t="s">
        <v>390</v>
      </c>
      <c r="L101" s="32">
        <v>0</v>
      </c>
      <c r="M101" s="31">
        <f>12.1-3</f>
        <v>9.1</v>
      </c>
      <c r="N101" s="30">
        <v>12.1</v>
      </c>
      <c r="O101" s="30">
        <f>N101*1.05</f>
        <v>12.705</v>
      </c>
      <c r="P101" s="30">
        <f>O101*1.05</f>
        <v>13.340250000000001</v>
      </c>
      <c r="Q101" s="30">
        <f>P101*1.05</f>
        <v>14.007262500000001</v>
      </c>
      <c r="AK101" s="233">
        <f t="shared" si="13"/>
        <v>0</v>
      </c>
    </row>
    <row r="102" spans="1:37" ht="38.25">
      <c r="A102" s="516" t="s">
        <v>110</v>
      </c>
      <c r="B102" s="516" t="s">
        <v>8</v>
      </c>
      <c r="C102" s="516" t="s">
        <v>25</v>
      </c>
      <c r="D102" s="516"/>
      <c r="E102" s="519" t="s">
        <v>295</v>
      </c>
      <c r="F102" s="1" t="s">
        <v>112</v>
      </c>
      <c r="G102" s="6">
        <v>843</v>
      </c>
      <c r="H102" s="7" t="s">
        <v>51</v>
      </c>
      <c r="I102" s="8" t="s">
        <v>9</v>
      </c>
      <c r="J102" s="7" t="s">
        <v>474</v>
      </c>
      <c r="K102" s="211" t="s">
        <v>475</v>
      </c>
      <c r="L102" s="32">
        <f>34881.7+L115+L116-7098.6</f>
        <v>280579.20000000007</v>
      </c>
      <c r="M102" s="31">
        <f>M105+M106+M107</f>
        <v>299669.2</v>
      </c>
      <c r="N102" s="31">
        <f>N105+N106+N107</f>
        <v>190144.19999999998</v>
      </c>
      <c r="O102" s="31">
        <f>O105+O106+O107</f>
        <v>199651.41</v>
      </c>
      <c r="P102" s="31">
        <f>P105+P106+P107</f>
        <v>209633.98050000001</v>
      </c>
      <c r="Q102" s="31">
        <f>Q105+Q106+Q107</f>
        <v>220115.67952500001</v>
      </c>
      <c r="AG102" s="233">
        <v>329566.40000000002</v>
      </c>
      <c r="AH102" s="233">
        <v>-2100</v>
      </c>
      <c r="AI102" s="233">
        <v>-205.5</v>
      </c>
      <c r="AJ102" s="233">
        <v>26719</v>
      </c>
      <c r="AK102" s="239">
        <f>AG102+AH102+AI102+AJ102</f>
        <v>353979.9</v>
      </c>
    </row>
    <row r="103" spans="1:37" ht="25.5">
      <c r="A103" s="517"/>
      <c r="B103" s="517"/>
      <c r="C103" s="517"/>
      <c r="D103" s="517"/>
      <c r="E103" s="520"/>
      <c r="F103" s="1" t="s">
        <v>120</v>
      </c>
      <c r="G103" s="6">
        <v>855</v>
      </c>
      <c r="H103" s="7" t="s">
        <v>35</v>
      </c>
      <c r="I103" s="8" t="s">
        <v>35</v>
      </c>
      <c r="J103" s="7" t="s">
        <v>476</v>
      </c>
      <c r="K103" s="211">
        <v>320</v>
      </c>
      <c r="L103" s="32">
        <v>26527</v>
      </c>
      <c r="M103" s="31">
        <v>57310.7</v>
      </c>
      <c r="N103" s="30">
        <v>38353.300000000003</v>
      </c>
      <c r="O103" s="30">
        <f>N103*1.05</f>
        <v>40270.965000000004</v>
      </c>
      <c r="P103" s="30">
        <f>O103*1.05</f>
        <v>42284.513250000004</v>
      </c>
      <c r="Q103" s="30">
        <f>P103*1.05</f>
        <v>44398.738912500005</v>
      </c>
      <c r="AG103" s="233">
        <v>57310.7</v>
      </c>
      <c r="AH103" s="233">
        <v>-3000</v>
      </c>
      <c r="AK103" s="239">
        <f t="shared" si="13"/>
        <v>54310.7</v>
      </c>
    </row>
    <row r="104" spans="1:37" ht="38.25">
      <c r="A104" s="664"/>
      <c r="B104" s="664"/>
      <c r="C104" s="664"/>
      <c r="D104" s="664"/>
      <c r="E104" s="665"/>
      <c r="F104" s="1" t="s">
        <v>172</v>
      </c>
      <c r="G104" s="6">
        <v>835</v>
      </c>
      <c r="H104" s="7" t="s">
        <v>69</v>
      </c>
      <c r="I104" s="8" t="s">
        <v>10</v>
      </c>
      <c r="J104" s="7" t="s">
        <v>477</v>
      </c>
      <c r="K104" s="211">
        <v>320</v>
      </c>
      <c r="L104" s="32">
        <f>545+181.7</f>
        <v>726.7</v>
      </c>
      <c r="M104" s="31">
        <v>0</v>
      </c>
      <c r="N104" s="30">
        <v>0</v>
      </c>
      <c r="O104" s="30">
        <v>0</v>
      </c>
      <c r="P104" s="30">
        <v>0</v>
      </c>
      <c r="Q104" s="30">
        <v>0</v>
      </c>
      <c r="AK104" s="233">
        <f t="shared" si="13"/>
        <v>0</v>
      </c>
    </row>
    <row r="105" spans="1:37" ht="38.25" hidden="1" customHeight="1">
      <c r="A105" s="58" t="s">
        <v>110</v>
      </c>
      <c r="B105" s="58" t="s">
        <v>8</v>
      </c>
      <c r="C105" s="58" t="s">
        <v>25</v>
      </c>
      <c r="D105" s="58" t="s">
        <v>7</v>
      </c>
      <c r="E105" s="44" t="s">
        <v>296</v>
      </c>
      <c r="F105" s="1" t="s">
        <v>112</v>
      </c>
      <c r="G105" s="6">
        <v>843</v>
      </c>
      <c r="H105" s="7" t="s">
        <v>51</v>
      </c>
      <c r="I105" s="8" t="s">
        <v>9</v>
      </c>
      <c r="J105" s="7" t="s">
        <v>297</v>
      </c>
      <c r="K105" s="211" t="s">
        <v>391</v>
      </c>
      <c r="L105" s="32"/>
      <c r="M105" s="31">
        <f>6672-205.5</f>
        <v>6466.5</v>
      </c>
      <c r="N105" s="30">
        <f>635.8+7039</f>
        <v>7674.8</v>
      </c>
      <c r="O105" s="30">
        <f t="shared" ref="O105:Q107" si="17">N105*1.05</f>
        <v>8058.5400000000009</v>
      </c>
      <c r="P105" s="30">
        <f t="shared" si="17"/>
        <v>8461.4670000000006</v>
      </c>
      <c r="Q105" s="30">
        <f t="shared" si="17"/>
        <v>8884.5403500000011</v>
      </c>
      <c r="AK105" s="233">
        <f t="shared" si="13"/>
        <v>0</v>
      </c>
    </row>
    <row r="106" spans="1:37" ht="38.25" hidden="1" customHeight="1">
      <c r="A106" s="58" t="s">
        <v>110</v>
      </c>
      <c r="B106" s="58" t="s">
        <v>8</v>
      </c>
      <c r="C106" s="58" t="s">
        <v>25</v>
      </c>
      <c r="D106" s="58" t="s">
        <v>8</v>
      </c>
      <c r="E106" s="44" t="s">
        <v>298</v>
      </c>
      <c r="F106" s="1" t="s">
        <v>112</v>
      </c>
      <c r="G106" s="6">
        <v>843</v>
      </c>
      <c r="H106" s="7" t="s">
        <v>51</v>
      </c>
      <c r="I106" s="8" t="s">
        <v>10</v>
      </c>
      <c r="J106" s="7" t="s">
        <v>300</v>
      </c>
      <c r="K106" s="211">
        <v>530</v>
      </c>
      <c r="L106" s="32"/>
      <c r="M106" s="31">
        <f>245582.7-2100+29719</f>
        <v>273201.7</v>
      </c>
      <c r="N106" s="30">
        <f>149263.8+13205.6</f>
        <v>162469.4</v>
      </c>
      <c r="O106" s="30">
        <f t="shared" si="17"/>
        <v>170592.87</v>
      </c>
      <c r="P106" s="30">
        <f t="shared" si="17"/>
        <v>179122.5135</v>
      </c>
      <c r="Q106" s="30">
        <f t="shared" si="17"/>
        <v>188078.63917500002</v>
      </c>
      <c r="AK106" s="233">
        <f t="shared" si="13"/>
        <v>0</v>
      </c>
    </row>
    <row r="107" spans="1:37" ht="63.75" hidden="1" customHeight="1">
      <c r="A107" s="58" t="s">
        <v>110</v>
      </c>
      <c r="B107" s="58" t="s">
        <v>8</v>
      </c>
      <c r="C107" s="58" t="s">
        <v>25</v>
      </c>
      <c r="D107" s="58" t="s">
        <v>9</v>
      </c>
      <c r="E107" s="44" t="s">
        <v>299</v>
      </c>
      <c r="F107" s="1" t="s">
        <v>112</v>
      </c>
      <c r="G107" s="6">
        <v>843</v>
      </c>
      <c r="H107" s="7" t="s">
        <v>51</v>
      </c>
      <c r="I107" s="8" t="s">
        <v>9</v>
      </c>
      <c r="J107" s="7" t="s">
        <v>301</v>
      </c>
      <c r="K107" s="211">
        <v>530</v>
      </c>
      <c r="L107" s="32"/>
      <c r="M107" s="187">
        <v>20001</v>
      </c>
      <c r="N107" s="31">
        <f>763+731+594+739+450+328+422+904+812+207+361+842+382+216+368+781+904+514+845+290+1367+406+282+664+370+2846+570+514+749+779</f>
        <v>20000</v>
      </c>
      <c r="O107" s="30">
        <f t="shared" si="17"/>
        <v>21000</v>
      </c>
      <c r="P107" s="30">
        <f t="shared" si="17"/>
        <v>22050</v>
      </c>
      <c r="Q107" s="30">
        <f t="shared" si="17"/>
        <v>23152.5</v>
      </c>
      <c r="AK107" s="233">
        <f t="shared" si="13"/>
        <v>0</v>
      </c>
    </row>
    <row r="108" spans="1:37" ht="38.25">
      <c r="A108" s="224" t="s">
        <v>110</v>
      </c>
      <c r="B108" s="224" t="s">
        <v>8</v>
      </c>
      <c r="C108" s="224" t="s">
        <v>6</v>
      </c>
      <c r="D108" s="224"/>
      <c r="E108" s="44" t="s">
        <v>302</v>
      </c>
      <c r="F108" s="1" t="s">
        <v>112</v>
      </c>
      <c r="G108" s="6">
        <v>843</v>
      </c>
      <c r="H108" s="7" t="s">
        <v>51</v>
      </c>
      <c r="I108" s="8" t="s">
        <v>8</v>
      </c>
      <c r="J108" s="7" t="s">
        <v>307</v>
      </c>
      <c r="K108" s="211">
        <v>320</v>
      </c>
      <c r="L108" s="31">
        <f t="shared" ref="L108:Q108" si="18">L109+L110+L111+L112</f>
        <v>0</v>
      </c>
      <c r="M108" s="31">
        <f t="shared" si="18"/>
        <v>1277.2</v>
      </c>
      <c r="N108" s="31">
        <f t="shared" si="18"/>
        <v>598.20000000000005</v>
      </c>
      <c r="O108" s="31">
        <f t="shared" si="18"/>
        <v>628.11</v>
      </c>
      <c r="P108" s="31">
        <f t="shared" si="18"/>
        <v>659.51550000000009</v>
      </c>
      <c r="Q108" s="31">
        <f t="shared" si="18"/>
        <v>692.49127500000009</v>
      </c>
      <c r="AG108" s="233">
        <v>1277.2</v>
      </c>
      <c r="AK108" s="233">
        <f t="shared" si="13"/>
        <v>1277.2</v>
      </c>
    </row>
    <row r="109" spans="1:37" ht="38.25" hidden="1" customHeight="1">
      <c r="A109" s="224" t="s">
        <v>110</v>
      </c>
      <c r="B109" s="224" t="s">
        <v>8</v>
      </c>
      <c r="C109" s="224" t="s">
        <v>6</v>
      </c>
      <c r="D109" s="224" t="s">
        <v>7</v>
      </c>
      <c r="E109" s="44" t="s">
        <v>303</v>
      </c>
      <c r="F109" s="1" t="s">
        <v>112</v>
      </c>
      <c r="G109" s="6">
        <v>843</v>
      </c>
      <c r="H109" s="7" t="s">
        <v>51</v>
      </c>
      <c r="I109" s="8" t="s">
        <v>8</v>
      </c>
      <c r="J109" s="7" t="s">
        <v>308</v>
      </c>
      <c r="K109" s="211">
        <v>320</v>
      </c>
      <c r="L109" s="48"/>
      <c r="M109" s="32">
        <v>254.4</v>
      </c>
      <c r="N109" s="30">
        <v>166</v>
      </c>
      <c r="O109" s="30">
        <f t="shared" ref="O109:P112" si="19">N109*1.05</f>
        <v>174.3</v>
      </c>
      <c r="P109" s="30">
        <f t="shared" si="19"/>
        <v>183.01500000000001</v>
      </c>
      <c r="Q109" s="30">
        <f>P109*1.05</f>
        <v>192.16575000000003</v>
      </c>
      <c r="AK109" s="233">
        <f t="shared" si="13"/>
        <v>0</v>
      </c>
    </row>
    <row r="110" spans="1:37" ht="51" hidden="1" customHeight="1">
      <c r="A110" s="224" t="s">
        <v>110</v>
      </c>
      <c r="B110" s="224" t="s">
        <v>8</v>
      </c>
      <c r="C110" s="224" t="s">
        <v>6</v>
      </c>
      <c r="D110" s="224" t="s">
        <v>8</v>
      </c>
      <c r="E110" s="44" t="s">
        <v>304</v>
      </c>
      <c r="F110" s="1" t="s">
        <v>112</v>
      </c>
      <c r="G110" s="6">
        <v>843</v>
      </c>
      <c r="H110" s="7" t="s">
        <v>51</v>
      </c>
      <c r="I110" s="8" t="s">
        <v>8</v>
      </c>
      <c r="J110" s="7" t="s">
        <v>309</v>
      </c>
      <c r="K110" s="211">
        <v>320</v>
      </c>
      <c r="L110" s="48"/>
      <c r="M110" s="32">
        <v>976.7</v>
      </c>
      <c r="N110" s="30">
        <v>247.8</v>
      </c>
      <c r="O110" s="30">
        <f t="shared" si="19"/>
        <v>260.19</v>
      </c>
      <c r="P110" s="30">
        <f t="shared" si="19"/>
        <v>273.1995</v>
      </c>
      <c r="Q110" s="30">
        <f>P110*1.05</f>
        <v>286.85947500000003</v>
      </c>
      <c r="AK110" s="233">
        <f t="shared" si="13"/>
        <v>0</v>
      </c>
    </row>
    <row r="111" spans="1:37" ht="51" hidden="1" customHeight="1">
      <c r="A111" s="224" t="s">
        <v>110</v>
      </c>
      <c r="B111" s="224" t="s">
        <v>8</v>
      </c>
      <c r="C111" s="224" t="s">
        <v>6</v>
      </c>
      <c r="D111" s="224" t="s">
        <v>9</v>
      </c>
      <c r="E111" s="44" t="s">
        <v>305</v>
      </c>
      <c r="F111" s="1" t="s">
        <v>112</v>
      </c>
      <c r="G111" s="6">
        <v>843</v>
      </c>
      <c r="H111" s="7" t="s">
        <v>51</v>
      </c>
      <c r="I111" s="8" t="s">
        <v>8</v>
      </c>
      <c r="J111" s="7" t="s">
        <v>310</v>
      </c>
      <c r="K111" s="211">
        <v>320</v>
      </c>
      <c r="L111" s="48"/>
      <c r="M111" s="32">
        <v>3</v>
      </c>
      <c r="N111" s="30">
        <v>184.4</v>
      </c>
      <c r="O111" s="30">
        <f t="shared" si="19"/>
        <v>193.62</v>
      </c>
      <c r="P111" s="30">
        <f t="shared" si="19"/>
        <v>203.30100000000002</v>
      </c>
      <c r="Q111" s="30">
        <f>P111*1.05</f>
        <v>213.46605000000002</v>
      </c>
      <c r="AK111" s="233">
        <f t="shared" si="13"/>
        <v>0</v>
      </c>
    </row>
    <row r="112" spans="1:37" ht="38.25" hidden="1" customHeight="1">
      <c r="A112" s="224" t="s">
        <v>110</v>
      </c>
      <c r="B112" s="224" t="s">
        <v>8</v>
      </c>
      <c r="C112" s="224" t="s">
        <v>6</v>
      </c>
      <c r="D112" s="224" t="s">
        <v>10</v>
      </c>
      <c r="E112" s="44" t="s">
        <v>306</v>
      </c>
      <c r="F112" s="1" t="s">
        <v>112</v>
      </c>
      <c r="G112" s="6">
        <v>843</v>
      </c>
      <c r="H112" s="7" t="s">
        <v>51</v>
      </c>
      <c r="I112" s="8" t="s">
        <v>8</v>
      </c>
      <c r="J112" s="7" t="s">
        <v>311</v>
      </c>
      <c r="K112" s="211">
        <v>320</v>
      </c>
      <c r="L112" s="32"/>
      <c r="M112" s="31">
        <v>43.1</v>
      </c>
      <c r="N112" s="31">
        <v>0</v>
      </c>
      <c r="O112" s="30">
        <f t="shared" si="19"/>
        <v>0</v>
      </c>
      <c r="P112" s="30">
        <f t="shared" si="19"/>
        <v>0</v>
      </c>
      <c r="Q112" s="30">
        <f>P112*1.05</f>
        <v>0</v>
      </c>
      <c r="AK112" s="233">
        <f t="shared" si="13"/>
        <v>0</v>
      </c>
    </row>
    <row r="113" spans="1:37" s="18" customFormat="1" ht="40.5" hidden="1" customHeight="1">
      <c r="A113" s="8"/>
      <c r="B113" s="8"/>
      <c r="C113" s="213"/>
      <c r="D113" s="213"/>
      <c r="E113" s="1" t="s">
        <v>293</v>
      </c>
      <c r="F113" s="1" t="s">
        <v>112</v>
      </c>
      <c r="G113" s="6">
        <v>843</v>
      </c>
      <c r="H113" s="7" t="s">
        <v>6</v>
      </c>
      <c r="I113" s="8" t="s">
        <v>6</v>
      </c>
      <c r="J113" s="7" t="s">
        <v>158</v>
      </c>
      <c r="K113" s="211">
        <v>622</v>
      </c>
      <c r="L113" s="32">
        <v>0</v>
      </c>
      <c r="M113" s="53">
        <v>0</v>
      </c>
      <c r="N113" s="165">
        <v>22.7</v>
      </c>
      <c r="O113" s="165">
        <f>N113*1.05</f>
        <v>23.835000000000001</v>
      </c>
      <c r="P113" s="165">
        <f>O113*1.05</f>
        <v>25.026750000000003</v>
      </c>
      <c r="Q113" s="166">
        <f>P113*1.05</f>
        <v>26.278087500000005</v>
      </c>
      <c r="AF113" s="235"/>
      <c r="AG113" s="235"/>
      <c r="AH113" s="235"/>
      <c r="AI113" s="235"/>
      <c r="AJ113" s="235"/>
      <c r="AK113" s="233">
        <f t="shared" si="13"/>
        <v>0</v>
      </c>
    </row>
    <row r="114" spans="1:37" ht="63.75" hidden="1" customHeight="1">
      <c r="A114" s="220"/>
      <c r="B114" s="220"/>
      <c r="C114" s="220"/>
      <c r="D114" s="213"/>
      <c r="E114" s="1" t="s">
        <v>113</v>
      </c>
      <c r="F114" s="1" t="s">
        <v>112</v>
      </c>
      <c r="G114" s="6">
        <v>843</v>
      </c>
      <c r="H114" s="7"/>
      <c r="I114" s="8"/>
      <c r="J114" s="7"/>
      <c r="K114" s="211"/>
      <c r="L114" s="32">
        <f t="shared" ref="L114:Q114" si="20">L115+L116</f>
        <v>252796.1</v>
      </c>
      <c r="M114" s="32">
        <f t="shared" si="20"/>
        <v>0</v>
      </c>
      <c r="N114" s="32">
        <f t="shared" si="20"/>
        <v>0</v>
      </c>
      <c r="O114" s="32">
        <f t="shared" si="20"/>
        <v>0</v>
      </c>
      <c r="P114" s="32">
        <f t="shared" si="20"/>
        <v>0</v>
      </c>
      <c r="Q114" s="32">
        <f t="shared" si="20"/>
        <v>0</v>
      </c>
      <c r="AK114" s="233">
        <f t="shared" si="13"/>
        <v>0</v>
      </c>
    </row>
    <row r="115" spans="1:37" ht="38.25" hidden="1" customHeight="1">
      <c r="A115" s="220"/>
      <c r="B115" s="220"/>
      <c r="C115" s="220"/>
      <c r="D115" s="213"/>
      <c r="E115" s="1" t="s">
        <v>121</v>
      </c>
      <c r="F115" s="1" t="s">
        <v>112</v>
      </c>
      <c r="G115" s="6">
        <v>843</v>
      </c>
      <c r="H115" s="7" t="s">
        <v>7</v>
      </c>
      <c r="I115" s="8" t="s">
        <v>10</v>
      </c>
      <c r="J115" s="7" t="s">
        <v>165</v>
      </c>
      <c r="K115" s="211">
        <v>530</v>
      </c>
      <c r="L115" s="32">
        <v>231449.7</v>
      </c>
      <c r="M115" s="53">
        <v>0</v>
      </c>
      <c r="N115" s="54">
        <v>0</v>
      </c>
      <c r="O115" s="54">
        <f t="shared" ref="O115:Q116" si="21">N115*1.05</f>
        <v>0</v>
      </c>
      <c r="P115" s="54">
        <f t="shared" si="21"/>
        <v>0</v>
      </c>
      <c r="Q115" s="30">
        <f t="shared" si="21"/>
        <v>0</v>
      </c>
      <c r="AK115" s="233">
        <f t="shared" si="13"/>
        <v>0</v>
      </c>
    </row>
    <row r="116" spans="1:37" ht="51" hidden="1" customHeight="1">
      <c r="A116" s="220"/>
      <c r="B116" s="220"/>
      <c r="C116" s="220"/>
      <c r="D116" s="213"/>
      <c r="E116" s="1" t="s">
        <v>122</v>
      </c>
      <c r="F116" s="1" t="s">
        <v>112</v>
      </c>
      <c r="G116" s="6">
        <v>843</v>
      </c>
      <c r="H116" s="7" t="s">
        <v>51</v>
      </c>
      <c r="I116" s="8" t="s">
        <v>10</v>
      </c>
      <c r="J116" s="7" t="s">
        <v>159</v>
      </c>
      <c r="K116" s="211">
        <v>530</v>
      </c>
      <c r="L116" s="32">
        <v>21346.400000000001</v>
      </c>
      <c r="M116" s="53">
        <v>0</v>
      </c>
      <c r="N116" s="54">
        <v>0</v>
      </c>
      <c r="O116" s="54">
        <f t="shared" si="21"/>
        <v>0</v>
      </c>
      <c r="P116" s="54">
        <f t="shared" si="21"/>
        <v>0</v>
      </c>
      <c r="Q116" s="30">
        <f t="shared" si="21"/>
        <v>0</v>
      </c>
      <c r="AK116" s="233">
        <f t="shared" si="13"/>
        <v>0</v>
      </c>
    </row>
    <row r="117" spans="1:37" ht="38.25">
      <c r="A117" s="220"/>
      <c r="B117" s="220"/>
      <c r="C117" s="220"/>
      <c r="D117" s="213"/>
      <c r="E117" s="1" t="s">
        <v>114</v>
      </c>
      <c r="F117" s="1" t="s">
        <v>112</v>
      </c>
      <c r="G117" s="6">
        <v>843</v>
      </c>
      <c r="H117" s="7" t="s">
        <v>51</v>
      </c>
      <c r="I117" s="8" t="s">
        <v>10</v>
      </c>
      <c r="J117" s="7" t="s">
        <v>495</v>
      </c>
      <c r="K117" s="211" t="s">
        <v>496</v>
      </c>
      <c r="L117" s="32">
        <f t="shared" ref="L117:Q117" si="22">SUM(L118:L122)</f>
        <v>95942.16</v>
      </c>
      <c r="M117" s="32">
        <f t="shared" si="22"/>
        <v>0</v>
      </c>
      <c r="N117" s="32">
        <f t="shared" si="22"/>
        <v>0</v>
      </c>
      <c r="O117" s="32">
        <f t="shared" si="22"/>
        <v>0</v>
      </c>
      <c r="P117" s="32">
        <f t="shared" si="22"/>
        <v>0</v>
      </c>
      <c r="Q117" s="32">
        <f t="shared" si="22"/>
        <v>0</v>
      </c>
      <c r="AK117" s="233">
        <f t="shared" si="13"/>
        <v>0</v>
      </c>
    </row>
    <row r="118" spans="1:37" s="106" customFormat="1" ht="15.75" hidden="1" customHeight="1">
      <c r="A118" s="666"/>
      <c r="B118" s="666"/>
      <c r="C118" s="666"/>
      <c r="D118" s="666"/>
      <c r="E118" s="668" t="s">
        <v>123</v>
      </c>
      <c r="F118" s="673" t="s">
        <v>112</v>
      </c>
      <c r="G118" s="671">
        <v>843</v>
      </c>
      <c r="H118" s="104" t="s">
        <v>51</v>
      </c>
      <c r="I118" s="105" t="s">
        <v>10</v>
      </c>
      <c r="J118" s="104" t="s">
        <v>166</v>
      </c>
      <c r="K118" s="211">
        <v>530</v>
      </c>
      <c r="L118" s="32">
        <v>16391.5</v>
      </c>
      <c r="M118" s="53">
        <v>0</v>
      </c>
      <c r="N118" s="107">
        <v>0</v>
      </c>
      <c r="O118" s="107">
        <f t="shared" ref="O118:P122" si="23">N118*1.05</f>
        <v>0</v>
      </c>
      <c r="P118" s="107">
        <f t="shared" si="23"/>
        <v>0</v>
      </c>
      <c r="Q118" s="108">
        <f>P118*1.05</f>
        <v>0</v>
      </c>
      <c r="AF118" s="236"/>
      <c r="AG118" s="236"/>
      <c r="AH118" s="236"/>
      <c r="AI118" s="236"/>
      <c r="AJ118" s="236"/>
      <c r="AK118" s="233">
        <f t="shared" si="13"/>
        <v>0</v>
      </c>
    </row>
    <row r="119" spans="1:37" s="106" customFormat="1" ht="24.75" hidden="1" customHeight="1">
      <c r="A119" s="667"/>
      <c r="B119" s="667"/>
      <c r="C119" s="667"/>
      <c r="D119" s="667"/>
      <c r="E119" s="669"/>
      <c r="F119" s="674"/>
      <c r="G119" s="672"/>
      <c r="H119" s="104" t="s">
        <v>51</v>
      </c>
      <c r="I119" s="105" t="s">
        <v>10</v>
      </c>
      <c r="J119" s="104" t="s">
        <v>167</v>
      </c>
      <c r="K119" s="211">
        <v>530</v>
      </c>
      <c r="L119" s="32">
        <v>320</v>
      </c>
      <c r="M119" s="53">
        <v>0</v>
      </c>
      <c r="N119" s="107">
        <v>0</v>
      </c>
      <c r="O119" s="107">
        <f t="shared" si="23"/>
        <v>0</v>
      </c>
      <c r="P119" s="107">
        <f t="shared" si="23"/>
        <v>0</v>
      </c>
      <c r="Q119" s="108">
        <f>P119*1.05</f>
        <v>0</v>
      </c>
      <c r="AF119" s="236"/>
      <c r="AG119" s="236"/>
      <c r="AH119" s="236"/>
      <c r="AI119" s="236"/>
      <c r="AJ119" s="236"/>
      <c r="AK119" s="233">
        <f t="shared" si="13"/>
        <v>0</v>
      </c>
    </row>
    <row r="120" spans="1:37" s="106" customFormat="1" ht="38.25" hidden="1" customHeight="1">
      <c r="A120" s="227"/>
      <c r="B120" s="227"/>
      <c r="C120" s="227"/>
      <c r="D120" s="101"/>
      <c r="E120" s="109" t="s">
        <v>124</v>
      </c>
      <c r="F120" s="102" t="s">
        <v>112</v>
      </c>
      <c r="G120" s="103">
        <v>843</v>
      </c>
      <c r="H120" s="104" t="s">
        <v>51</v>
      </c>
      <c r="I120" s="105" t="s">
        <v>10</v>
      </c>
      <c r="J120" s="104" t="s">
        <v>163</v>
      </c>
      <c r="K120" s="211">
        <v>321</v>
      </c>
      <c r="L120" s="32">
        <v>4700</v>
      </c>
      <c r="M120" s="53">
        <v>0</v>
      </c>
      <c r="N120" s="107">
        <v>0</v>
      </c>
      <c r="O120" s="107">
        <f t="shared" si="23"/>
        <v>0</v>
      </c>
      <c r="P120" s="107">
        <f t="shared" si="23"/>
        <v>0</v>
      </c>
      <c r="Q120" s="108">
        <f>P120*1.05</f>
        <v>0</v>
      </c>
      <c r="AF120" s="236"/>
      <c r="AG120" s="236"/>
      <c r="AH120" s="236"/>
      <c r="AI120" s="236"/>
      <c r="AJ120" s="236"/>
      <c r="AK120" s="233">
        <f t="shared" si="13"/>
        <v>0</v>
      </c>
    </row>
    <row r="121" spans="1:37" s="110" customFormat="1" ht="38.25" hidden="1" customHeight="1">
      <c r="A121" s="101"/>
      <c r="B121" s="101"/>
      <c r="C121" s="101"/>
      <c r="D121" s="101"/>
      <c r="E121" s="229" t="s">
        <v>115</v>
      </c>
      <c r="F121" s="102" t="s">
        <v>112</v>
      </c>
      <c r="G121" s="103">
        <v>843</v>
      </c>
      <c r="H121" s="104" t="s">
        <v>7</v>
      </c>
      <c r="I121" s="105" t="s">
        <v>10</v>
      </c>
      <c r="J121" s="104" t="s">
        <v>161</v>
      </c>
      <c r="K121" s="211">
        <v>530</v>
      </c>
      <c r="L121" s="32">
        <v>3580.16</v>
      </c>
      <c r="M121" s="53">
        <v>0</v>
      </c>
      <c r="N121" s="107">
        <v>0</v>
      </c>
      <c r="O121" s="107">
        <f t="shared" si="23"/>
        <v>0</v>
      </c>
      <c r="P121" s="107">
        <f t="shared" si="23"/>
        <v>0</v>
      </c>
      <c r="Q121" s="108">
        <f>P121*1.05</f>
        <v>0</v>
      </c>
      <c r="AF121" s="237"/>
      <c r="AG121" s="237"/>
      <c r="AH121" s="237"/>
      <c r="AI121" s="237"/>
      <c r="AJ121" s="237"/>
      <c r="AK121" s="233">
        <f t="shared" si="13"/>
        <v>0</v>
      </c>
    </row>
    <row r="122" spans="1:37" s="110" customFormat="1" ht="38.25" hidden="1" customHeight="1">
      <c r="A122" s="101"/>
      <c r="B122" s="101"/>
      <c r="C122" s="101"/>
      <c r="D122" s="101"/>
      <c r="E122" s="102" t="s">
        <v>116</v>
      </c>
      <c r="F122" s="102" t="s">
        <v>112</v>
      </c>
      <c r="G122" s="103">
        <v>843</v>
      </c>
      <c r="H122" s="104" t="s">
        <v>7</v>
      </c>
      <c r="I122" s="105" t="s">
        <v>10</v>
      </c>
      <c r="J122" s="104" t="s">
        <v>162</v>
      </c>
      <c r="K122" s="211">
        <v>530</v>
      </c>
      <c r="L122" s="32">
        <v>70950.5</v>
      </c>
      <c r="M122" s="53">
        <v>0</v>
      </c>
      <c r="N122" s="107">
        <v>0</v>
      </c>
      <c r="O122" s="107">
        <f t="shared" si="23"/>
        <v>0</v>
      </c>
      <c r="P122" s="107">
        <f t="shared" si="23"/>
        <v>0</v>
      </c>
      <c r="Q122" s="108">
        <f>P122*1.05</f>
        <v>0</v>
      </c>
      <c r="AF122" s="237"/>
      <c r="AG122" s="237"/>
      <c r="AH122" s="237"/>
      <c r="AI122" s="237"/>
      <c r="AJ122" s="237"/>
      <c r="AK122" s="233">
        <f t="shared" si="13"/>
        <v>0</v>
      </c>
    </row>
    <row r="123" spans="1:37" ht="38.25">
      <c r="A123" s="220"/>
      <c r="B123" s="220"/>
      <c r="C123" s="220"/>
      <c r="D123" s="213"/>
      <c r="E123" s="34" t="s">
        <v>117</v>
      </c>
      <c r="F123" s="1" t="s">
        <v>112</v>
      </c>
      <c r="G123" s="6">
        <v>843</v>
      </c>
      <c r="H123" s="7" t="s">
        <v>51</v>
      </c>
      <c r="I123" s="8" t="s">
        <v>10</v>
      </c>
      <c r="J123" s="7" t="s">
        <v>497</v>
      </c>
      <c r="K123" s="211" t="s">
        <v>496</v>
      </c>
      <c r="L123" s="32">
        <f>L124+L125</f>
        <v>388187.82999999996</v>
      </c>
      <c r="M123" s="32">
        <f>M124+M125+M126</f>
        <v>0</v>
      </c>
      <c r="N123" s="32">
        <f>N124+N125+N126</f>
        <v>0</v>
      </c>
      <c r="O123" s="32">
        <f>O124+O125+O126</f>
        <v>0</v>
      </c>
      <c r="P123" s="32">
        <f>P124+P125+P126</f>
        <v>0</v>
      </c>
      <c r="Q123" s="32">
        <f>Q124+Q125+Q126</f>
        <v>0</v>
      </c>
      <c r="AK123" s="233">
        <f t="shared" si="13"/>
        <v>0</v>
      </c>
    </row>
    <row r="124" spans="1:37" s="106" customFormat="1" ht="38.25" hidden="1" customHeight="1">
      <c r="A124" s="227"/>
      <c r="B124" s="227"/>
      <c r="C124" s="227"/>
      <c r="D124" s="101"/>
      <c r="E124" s="109" t="s">
        <v>125</v>
      </c>
      <c r="F124" s="102" t="s">
        <v>112</v>
      </c>
      <c r="G124" s="103">
        <v>843</v>
      </c>
      <c r="H124" s="104" t="s">
        <v>51</v>
      </c>
      <c r="I124" s="105" t="s">
        <v>10</v>
      </c>
      <c r="J124" s="104" t="s">
        <v>185</v>
      </c>
      <c r="K124" s="211">
        <v>530</v>
      </c>
      <c r="L124" s="32">
        <v>87552.67</v>
      </c>
      <c r="M124" s="53">
        <v>0</v>
      </c>
      <c r="N124" s="107">
        <v>0</v>
      </c>
      <c r="O124" s="107">
        <f t="shared" ref="O124:P127" si="24">N124*1.05</f>
        <v>0</v>
      </c>
      <c r="P124" s="107">
        <f t="shared" si="24"/>
        <v>0</v>
      </c>
      <c r="Q124" s="108">
        <f>P124*1.05</f>
        <v>0</v>
      </c>
      <c r="AF124" s="236"/>
      <c r="AG124" s="236"/>
      <c r="AH124" s="236"/>
      <c r="AI124" s="236"/>
      <c r="AJ124" s="236"/>
      <c r="AK124" s="233">
        <f t="shared" si="13"/>
        <v>0</v>
      </c>
    </row>
    <row r="125" spans="1:37" s="106" customFormat="1" ht="38.25" hidden="1" customHeight="1">
      <c r="A125" s="227"/>
      <c r="B125" s="227"/>
      <c r="C125" s="227"/>
      <c r="D125" s="101"/>
      <c r="E125" s="228" t="s">
        <v>118</v>
      </c>
      <c r="F125" s="102" t="s">
        <v>112</v>
      </c>
      <c r="G125" s="103">
        <v>843</v>
      </c>
      <c r="H125" s="104" t="s">
        <v>51</v>
      </c>
      <c r="I125" s="105" t="s">
        <v>10</v>
      </c>
      <c r="J125" s="104" t="s">
        <v>164</v>
      </c>
      <c r="K125" s="211">
        <v>530</v>
      </c>
      <c r="L125" s="32">
        <v>300635.15999999997</v>
      </c>
      <c r="M125" s="53">
        <v>0</v>
      </c>
      <c r="N125" s="107">
        <v>0</v>
      </c>
      <c r="O125" s="107">
        <f t="shared" si="24"/>
        <v>0</v>
      </c>
      <c r="P125" s="107">
        <f t="shared" si="24"/>
        <v>0</v>
      </c>
      <c r="Q125" s="108">
        <f>P125*1.05</f>
        <v>0</v>
      </c>
      <c r="AF125" s="236"/>
      <c r="AG125" s="236"/>
      <c r="AH125" s="236"/>
      <c r="AI125" s="236"/>
      <c r="AJ125" s="236"/>
      <c r="AK125" s="233">
        <f t="shared" si="13"/>
        <v>0</v>
      </c>
    </row>
    <row r="126" spans="1:37" ht="38.25" hidden="1" customHeight="1">
      <c r="A126" s="220"/>
      <c r="B126" s="220"/>
      <c r="C126" s="220"/>
      <c r="D126" s="213"/>
      <c r="E126" s="34" t="s">
        <v>119</v>
      </c>
      <c r="F126" s="1" t="s">
        <v>112</v>
      </c>
      <c r="G126" s="6">
        <v>843</v>
      </c>
      <c r="H126" s="7" t="s">
        <v>51</v>
      </c>
      <c r="I126" s="8" t="s">
        <v>10</v>
      </c>
      <c r="J126" s="7" t="s">
        <v>160</v>
      </c>
      <c r="K126" s="211">
        <v>313</v>
      </c>
      <c r="L126" s="32">
        <v>480</v>
      </c>
      <c r="M126" s="53">
        <v>0</v>
      </c>
      <c r="N126" s="54">
        <v>0</v>
      </c>
      <c r="O126" s="54">
        <f t="shared" si="24"/>
        <v>0</v>
      </c>
      <c r="P126" s="54">
        <f t="shared" si="24"/>
        <v>0</v>
      </c>
      <c r="Q126" s="30">
        <f>P126*1.05</f>
        <v>0</v>
      </c>
      <c r="AK126" s="233">
        <f t="shared" si="13"/>
        <v>0</v>
      </c>
    </row>
    <row r="127" spans="1:37" ht="38.25" hidden="1">
      <c r="A127" s="220"/>
      <c r="B127" s="220"/>
      <c r="C127" s="220"/>
      <c r="D127" s="213"/>
      <c r="E127" s="1" t="s">
        <v>173</v>
      </c>
      <c r="F127" s="1" t="s">
        <v>112</v>
      </c>
      <c r="G127" s="6">
        <v>843</v>
      </c>
      <c r="H127" s="7" t="s">
        <v>7</v>
      </c>
      <c r="I127" s="8" t="s">
        <v>10</v>
      </c>
      <c r="J127" s="7" t="s">
        <v>174</v>
      </c>
      <c r="K127" s="211">
        <v>530</v>
      </c>
      <c r="L127" s="32">
        <v>20155</v>
      </c>
      <c r="M127" s="32">
        <v>0</v>
      </c>
      <c r="N127" s="32">
        <v>0</v>
      </c>
      <c r="O127" s="30">
        <f t="shared" si="24"/>
        <v>0</v>
      </c>
      <c r="P127" s="30">
        <f t="shared" si="24"/>
        <v>0</v>
      </c>
      <c r="Q127" s="30">
        <f>P127*1.05</f>
        <v>0</v>
      </c>
      <c r="AK127" s="233">
        <f t="shared" si="13"/>
        <v>0</v>
      </c>
    </row>
    <row r="128" spans="1:37" ht="15" customHeight="1">
      <c r="A128" s="525">
        <v>30</v>
      </c>
      <c r="B128" s="525" t="s">
        <v>9</v>
      </c>
      <c r="C128" s="525"/>
      <c r="D128" s="525"/>
      <c r="E128" s="505" t="s">
        <v>61</v>
      </c>
      <c r="F128" s="1" t="s">
        <v>48</v>
      </c>
      <c r="G128" s="6"/>
      <c r="H128" s="6"/>
      <c r="I128" s="8"/>
      <c r="J128" s="8"/>
      <c r="K128" s="6"/>
      <c r="L128" s="30">
        <f>L129+L130+L134+L131+L132+L133</f>
        <v>1608778.0199999996</v>
      </c>
      <c r="M128" s="30">
        <f>M129+M130+M134+M131+M132+M133+M135</f>
        <v>1755835.9160000002</v>
      </c>
      <c r="N128" s="30">
        <f>N129</f>
        <v>1193407.5</v>
      </c>
      <c r="O128" s="30">
        <f>O129</f>
        <v>1253077.8750000002</v>
      </c>
      <c r="P128" s="30">
        <f>P129</f>
        <v>1315731.76875</v>
      </c>
      <c r="Q128" s="30">
        <f>P128*1.05</f>
        <v>1381518.3571875002</v>
      </c>
      <c r="S128" s="56"/>
      <c r="AK128" s="233">
        <f t="shared" si="13"/>
        <v>0</v>
      </c>
    </row>
    <row r="129" spans="1:37" ht="38.25">
      <c r="A129" s="526"/>
      <c r="B129" s="526"/>
      <c r="C129" s="526"/>
      <c r="D129" s="526"/>
      <c r="E129" s="515"/>
      <c r="F129" s="1" t="s">
        <v>112</v>
      </c>
      <c r="G129" s="6">
        <v>843</v>
      </c>
      <c r="H129" s="6"/>
      <c r="I129" s="8"/>
      <c r="J129" s="8"/>
      <c r="K129" s="6"/>
      <c r="L129" s="30">
        <f>L136+L138+L142+L145+L148+L150+L151+L165+L167+L168+L170+L172+L175+L185+L186+L187+L188+L190+L191+L140</f>
        <v>1578395.8199999998</v>
      </c>
      <c r="M129" s="30">
        <f>M136+M138+M142+M145+M148+M150+M151+M165+M167+M168+M170+M172+M175+M185+M186+M187+M188+M190+M191+M140</f>
        <v>1714347.1560000002</v>
      </c>
      <c r="N129" s="30">
        <f>N136+N138+N142+N145+N148+N150+N151+N165+N167+N168+N170+N172+N175+N185+N186+N187+N188+N190+N191+N140-N172-N175</f>
        <v>1193407.5</v>
      </c>
      <c r="O129" s="30">
        <f>O136+O138+O142+O145+O148+O150+O151+O165+O167+O168+O170+O172+O175+O185+O186+O187+O188+O190+O191+O140-O172-O175</f>
        <v>1253077.8750000002</v>
      </c>
      <c r="P129" s="30">
        <f>P136+P138+P142+P145+P148+P150+P151+P165+P167+P168+P170+P172+P175+P185+P186+P187+P188+P190+P191+P140-P172-P175</f>
        <v>1315731.76875</v>
      </c>
      <c r="Q129" s="30">
        <f>Q136+Q138+Q142+Q145+Q148+Q150+Q151+Q165+Q167+Q168+Q170+Q172+Q175+Q185+Q186+Q187+Q188+Q190+Q191+Q140-Q172-Q175</f>
        <v>1381518.3571875002</v>
      </c>
      <c r="R129" s="26">
        <v>1610169</v>
      </c>
      <c r="S129" s="56">
        <f>R129-L129</f>
        <v>31773.180000000168</v>
      </c>
      <c r="AF129" s="238"/>
      <c r="AG129" s="238">
        <f>AG136+AG138+AG140+AG142+AG145+AG148+AG150+AG165+AG167+AG170</f>
        <v>1540320.1</v>
      </c>
      <c r="AH129" s="238">
        <f>AH136+AH138+AH140+AH142+AH145+AH148+AH150+AH165+AH167+AH170</f>
        <v>5000</v>
      </c>
      <c r="AI129" s="238">
        <f>AI136+AI138+AI140+AI142+AI145+AI148+AI150+AI165+AI167+AI170</f>
        <v>9252.4</v>
      </c>
      <c r="AJ129" s="238">
        <f>AJ136+AJ138+AJ140+AJ142+AJ145+AJ148+AJ150+AJ165+AJ167+AJ170</f>
        <v>176341.5</v>
      </c>
      <c r="AK129" s="240">
        <f>AK136+AK138+AK140+AK142+AK145+AK148+AK150+AK165+AK167+AK170</f>
        <v>1730914</v>
      </c>
    </row>
    <row r="130" spans="1:37" ht="38.25">
      <c r="A130" s="526"/>
      <c r="B130" s="526"/>
      <c r="C130" s="526"/>
      <c r="D130" s="526"/>
      <c r="E130" s="515"/>
      <c r="F130" s="1" t="s">
        <v>172</v>
      </c>
      <c r="G130" s="6">
        <v>835</v>
      </c>
      <c r="H130" s="6"/>
      <c r="I130" s="8"/>
      <c r="J130" s="8"/>
      <c r="K130" s="6"/>
      <c r="L130" s="30">
        <f>L207+L208</f>
        <v>6624.7000000000007</v>
      </c>
      <c r="M130" s="30">
        <f>M207+M152+M153</f>
        <v>1417.71</v>
      </c>
      <c r="N130" s="30">
        <f>N207</f>
        <v>0</v>
      </c>
      <c r="O130" s="30">
        <f>O207</f>
        <v>0</v>
      </c>
      <c r="P130" s="30">
        <f>P207</f>
        <v>0</v>
      </c>
      <c r="Q130" s="30">
        <f>P130*1.05</f>
        <v>0</v>
      </c>
      <c r="AK130" s="233">
        <f t="shared" si="13"/>
        <v>0</v>
      </c>
    </row>
    <row r="131" spans="1:37" ht="51">
      <c r="A131" s="526"/>
      <c r="B131" s="526"/>
      <c r="C131" s="526"/>
      <c r="D131" s="526"/>
      <c r="E131" s="515"/>
      <c r="F131" s="10" t="s">
        <v>456</v>
      </c>
      <c r="G131" s="6">
        <v>847</v>
      </c>
      <c r="H131" s="6"/>
      <c r="I131" s="8"/>
      <c r="J131" s="8"/>
      <c r="K131" s="6"/>
      <c r="L131" s="30">
        <f>L211+L212</f>
        <v>6622.2</v>
      </c>
      <c r="M131" s="30">
        <f>M156+M157</f>
        <v>5737.7099999999991</v>
      </c>
      <c r="N131" s="30">
        <v>0</v>
      </c>
      <c r="O131" s="30">
        <v>0</v>
      </c>
      <c r="P131" s="30">
        <v>0</v>
      </c>
      <c r="Q131" s="30">
        <f>P131*1.05</f>
        <v>0</v>
      </c>
      <c r="AK131" s="233">
        <f t="shared" si="13"/>
        <v>0</v>
      </c>
    </row>
    <row r="132" spans="1:37" ht="38.25">
      <c r="A132" s="526"/>
      <c r="B132" s="526"/>
      <c r="C132" s="526"/>
      <c r="D132" s="526"/>
      <c r="E132" s="515"/>
      <c r="F132" s="10" t="s">
        <v>457</v>
      </c>
      <c r="G132" s="6">
        <v>855</v>
      </c>
      <c r="H132" s="6"/>
      <c r="I132" s="8"/>
      <c r="J132" s="8"/>
      <c r="K132" s="6"/>
      <c r="L132" s="30">
        <f>L213+L214</f>
        <v>5597.4000000000005</v>
      </c>
      <c r="M132" s="30">
        <f>M158+M159</f>
        <v>6295.01</v>
      </c>
      <c r="N132" s="30">
        <v>0</v>
      </c>
      <c r="O132" s="30">
        <v>0</v>
      </c>
      <c r="P132" s="30">
        <v>0</v>
      </c>
      <c r="Q132" s="30">
        <f>P132*1.05</f>
        <v>0</v>
      </c>
      <c r="AK132" s="233">
        <f t="shared" si="13"/>
        <v>0</v>
      </c>
    </row>
    <row r="133" spans="1:37" ht="25.5">
      <c r="A133" s="526"/>
      <c r="B133" s="526"/>
      <c r="C133" s="526"/>
      <c r="D133" s="526"/>
      <c r="E133" s="515"/>
      <c r="F133" s="46" t="s">
        <v>459</v>
      </c>
      <c r="G133" s="6">
        <v>857</v>
      </c>
      <c r="H133" s="6"/>
      <c r="I133" s="8"/>
      <c r="J133" s="8"/>
      <c r="K133" s="6"/>
      <c r="L133" s="30">
        <f>L215+L216</f>
        <v>6537.9</v>
      </c>
      <c r="M133" s="30">
        <f>M160+M161</f>
        <v>7640.2200000000012</v>
      </c>
      <c r="N133" s="30">
        <v>0</v>
      </c>
      <c r="O133" s="30">
        <v>0</v>
      </c>
      <c r="P133" s="30">
        <v>0</v>
      </c>
      <c r="Q133" s="30">
        <f>P133*1.05</f>
        <v>0</v>
      </c>
      <c r="AK133" s="233">
        <f t="shared" si="13"/>
        <v>0</v>
      </c>
    </row>
    <row r="134" spans="1:37" ht="29.25" customHeight="1">
      <c r="A134" s="526"/>
      <c r="B134" s="526"/>
      <c r="C134" s="526"/>
      <c r="D134" s="526"/>
      <c r="E134" s="515"/>
      <c r="F134" s="1" t="s">
        <v>187</v>
      </c>
      <c r="G134" s="6">
        <v>874</v>
      </c>
      <c r="H134" s="7"/>
      <c r="I134" s="8"/>
      <c r="J134" s="7"/>
      <c r="K134" s="211"/>
      <c r="L134" s="30">
        <f>L209+L210</f>
        <v>5000</v>
      </c>
      <c r="M134" s="30">
        <f>M154+M155</f>
        <v>12718.6</v>
      </c>
      <c r="N134" s="30">
        <f>N209</f>
        <v>0</v>
      </c>
      <c r="O134" s="30">
        <f>O209</f>
        <v>0</v>
      </c>
      <c r="P134" s="30">
        <f>P209</f>
        <v>0</v>
      </c>
      <c r="Q134" s="30">
        <f>P134*1.05</f>
        <v>0</v>
      </c>
      <c r="AK134" s="233">
        <f t="shared" si="13"/>
        <v>0</v>
      </c>
    </row>
    <row r="135" spans="1:37" ht="29.25" customHeight="1">
      <c r="A135" s="670"/>
      <c r="B135" s="670"/>
      <c r="C135" s="670"/>
      <c r="D135" s="670"/>
      <c r="E135" s="506"/>
      <c r="F135" s="1" t="s">
        <v>501</v>
      </c>
      <c r="G135" s="6">
        <v>845</v>
      </c>
      <c r="H135" s="7"/>
      <c r="I135" s="8"/>
      <c r="J135" s="7"/>
      <c r="K135" s="211"/>
      <c r="L135" s="30">
        <v>0</v>
      </c>
      <c r="M135" s="30">
        <f>M163+M164</f>
        <v>7679.51</v>
      </c>
      <c r="N135" s="30">
        <v>0</v>
      </c>
      <c r="O135" s="30">
        <v>0</v>
      </c>
      <c r="P135" s="30">
        <v>0</v>
      </c>
      <c r="Q135" s="30">
        <v>0</v>
      </c>
      <c r="AK135" s="233">
        <f t="shared" si="13"/>
        <v>0</v>
      </c>
    </row>
    <row r="136" spans="1:37" ht="51">
      <c r="A136" s="225" t="s">
        <v>110</v>
      </c>
      <c r="B136" s="225" t="s">
        <v>9</v>
      </c>
      <c r="C136" s="225" t="s">
        <v>7</v>
      </c>
      <c r="D136" s="223"/>
      <c r="E136" s="3" t="s">
        <v>312</v>
      </c>
      <c r="F136" s="1" t="s">
        <v>112</v>
      </c>
      <c r="G136" s="6">
        <v>843</v>
      </c>
      <c r="H136" s="7" t="s">
        <v>51</v>
      </c>
      <c r="I136" s="8" t="s">
        <v>8</v>
      </c>
      <c r="J136" s="7" t="s">
        <v>314</v>
      </c>
      <c r="K136" s="211">
        <v>611</v>
      </c>
      <c r="L136" s="30">
        <f>L137</f>
        <v>0</v>
      </c>
      <c r="M136" s="30">
        <f>M137</f>
        <v>593771</v>
      </c>
      <c r="N136" s="30">
        <v>417656.3</v>
      </c>
      <c r="O136" s="30">
        <v>438539.11500000005</v>
      </c>
      <c r="P136" s="30">
        <v>460466.07075000007</v>
      </c>
      <c r="Q136" s="30">
        <v>483489.37428750005</v>
      </c>
      <c r="AG136" s="233">
        <v>519111.4</v>
      </c>
      <c r="AI136" s="233">
        <v>3000</v>
      </c>
      <c r="AJ136" s="233">
        <v>71659.600000000006</v>
      </c>
      <c r="AK136" s="233">
        <f t="shared" si="13"/>
        <v>593771</v>
      </c>
    </row>
    <row r="137" spans="1:37" ht="51" hidden="1">
      <c r="A137" s="225" t="s">
        <v>110</v>
      </c>
      <c r="B137" s="225" t="s">
        <v>9</v>
      </c>
      <c r="C137" s="225" t="s">
        <v>7</v>
      </c>
      <c r="D137" s="8" t="s">
        <v>7</v>
      </c>
      <c r="E137" s="3" t="s">
        <v>313</v>
      </c>
      <c r="F137" s="1" t="s">
        <v>112</v>
      </c>
      <c r="G137" s="6">
        <v>843</v>
      </c>
      <c r="H137" s="7" t="s">
        <v>51</v>
      </c>
      <c r="I137" s="8" t="s">
        <v>8</v>
      </c>
      <c r="J137" s="7" t="s">
        <v>315</v>
      </c>
      <c r="K137" s="211">
        <v>611</v>
      </c>
      <c r="L137" s="30">
        <v>0</v>
      </c>
      <c r="M137" s="30">
        <f>519111.4+3000+71659.6</f>
        <v>593771</v>
      </c>
      <c r="N137" s="30">
        <v>0</v>
      </c>
      <c r="O137" s="30">
        <f t="shared" ref="O137:P141" si="25">N137*1.05</f>
        <v>0</v>
      </c>
      <c r="P137" s="30">
        <f t="shared" si="25"/>
        <v>0</v>
      </c>
      <c r="Q137" s="30">
        <f>P137*1.05</f>
        <v>0</v>
      </c>
      <c r="AK137" s="233">
        <f t="shared" si="13"/>
        <v>0</v>
      </c>
    </row>
    <row r="138" spans="1:37" ht="63.75">
      <c r="A138" s="225" t="s">
        <v>110</v>
      </c>
      <c r="B138" s="225" t="s">
        <v>9</v>
      </c>
      <c r="C138" s="225" t="s">
        <v>8</v>
      </c>
      <c r="D138" s="8"/>
      <c r="E138" s="3" t="s">
        <v>316</v>
      </c>
      <c r="F138" s="1" t="s">
        <v>112</v>
      </c>
      <c r="G138" s="6">
        <v>843</v>
      </c>
      <c r="H138" s="7" t="s">
        <v>51</v>
      </c>
      <c r="I138" s="8" t="s">
        <v>8</v>
      </c>
      <c r="J138" s="7" t="s">
        <v>317</v>
      </c>
      <c r="K138" s="211">
        <v>611</v>
      </c>
      <c r="L138" s="30">
        <f>L139</f>
        <v>0</v>
      </c>
      <c r="M138" s="30">
        <f>M139</f>
        <v>44711.1</v>
      </c>
      <c r="N138" s="30">
        <v>32775.1</v>
      </c>
      <c r="O138" s="30">
        <v>34413.855000000003</v>
      </c>
      <c r="P138" s="30">
        <v>36134.547750000005</v>
      </c>
      <c r="Q138" s="30">
        <v>37941.275137500008</v>
      </c>
      <c r="R138" s="26">
        <f>N138/M138</f>
        <v>0.73304168316145202</v>
      </c>
      <c r="S138" s="26">
        <f>O138/N138</f>
        <v>1.05</v>
      </c>
      <c r="T138" s="26">
        <f>P138/O138</f>
        <v>1.05</v>
      </c>
      <c r="U138" s="26">
        <f>Q138/P138</f>
        <v>1.05</v>
      </c>
      <c r="AG138" s="233">
        <v>42655.4</v>
      </c>
      <c r="AJ138" s="233">
        <v>2055.6999999999998</v>
      </c>
      <c r="AK138" s="233">
        <f t="shared" si="13"/>
        <v>44711.1</v>
      </c>
    </row>
    <row r="139" spans="1:37" ht="51" hidden="1">
      <c r="A139" s="225" t="s">
        <v>110</v>
      </c>
      <c r="B139" s="225" t="s">
        <v>9</v>
      </c>
      <c r="C139" s="225" t="s">
        <v>8</v>
      </c>
      <c r="D139" s="8" t="s">
        <v>7</v>
      </c>
      <c r="E139" s="3" t="s">
        <v>313</v>
      </c>
      <c r="F139" s="1" t="s">
        <v>112</v>
      </c>
      <c r="G139" s="6">
        <v>843</v>
      </c>
      <c r="H139" s="7" t="s">
        <v>51</v>
      </c>
      <c r="I139" s="8" t="s">
        <v>8</v>
      </c>
      <c r="J139" s="7" t="s">
        <v>318</v>
      </c>
      <c r="K139" s="211">
        <v>611</v>
      </c>
      <c r="L139" s="30">
        <v>0</v>
      </c>
      <c r="M139" s="30">
        <f>42655.4+2055.7</f>
        <v>44711.1</v>
      </c>
      <c r="N139" s="30">
        <v>0</v>
      </c>
      <c r="O139" s="30">
        <f t="shared" si="25"/>
        <v>0</v>
      </c>
      <c r="P139" s="30">
        <f t="shared" si="25"/>
        <v>0</v>
      </c>
      <c r="Q139" s="30">
        <f>P139*1.05</f>
        <v>0</v>
      </c>
      <c r="AK139" s="233">
        <f t="shared" si="13"/>
        <v>0</v>
      </c>
    </row>
    <row r="140" spans="1:37" ht="76.5">
      <c r="A140" s="225" t="s">
        <v>110</v>
      </c>
      <c r="B140" s="225" t="s">
        <v>9</v>
      </c>
      <c r="C140" s="225" t="s">
        <v>9</v>
      </c>
      <c r="D140" s="8"/>
      <c r="E140" s="3" t="s">
        <v>319</v>
      </c>
      <c r="F140" s="1" t="s">
        <v>112</v>
      </c>
      <c r="G140" s="6">
        <v>843</v>
      </c>
      <c r="H140" s="7" t="s">
        <v>51</v>
      </c>
      <c r="I140" s="8" t="s">
        <v>8</v>
      </c>
      <c r="J140" s="7" t="s">
        <v>320</v>
      </c>
      <c r="K140" s="211" t="s">
        <v>478</v>
      </c>
      <c r="L140" s="30">
        <f>L141</f>
        <v>0</v>
      </c>
      <c r="M140" s="30">
        <f>M141</f>
        <v>964547.80000000016</v>
      </c>
      <c r="N140" s="30">
        <v>703282.8</v>
      </c>
      <c r="O140" s="30">
        <v>738446.94000000006</v>
      </c>
      <c r="P140" s="30">
        <v>775369.28700000001</v>
      </c>
      <c r="Q140" s="30">
        <v>814137.75135000004</v>
      </c>
      <c r="R140" s="178">
        <v>681470.57</v>
      </c>
      <c r="S140" s="56">
        <f>R140-M140</f>
        <v>-283077.23000000021</v>
      </c>
      <c r="AG140" s="233">
        <v>866319.9</v>
      </c>
      <c r="AI140" s="233">
        <v>2623.8</v>
      </c>
      <c r="AJ140" s="233">
        <v>95604.1</v>
      </c>
      <c r="AK140" s="233">
        <f t="shared" si="13"/>
        <v>964547.8</v>
      </c>
    </row>
    <row r="141" spans="1:37" ht="51" hidden="1">
      <c r="A141" s="225" t="s">
        <v>110</v>
      </c>
      <c r="B141" s="225" t="s">
        <v>9</v>
      </c>
      <c r="C141" s="225" t="s">
        <v>9</v>
      </c>
      <c r="D141" s="8" t="s">
        <v>7</v>
      </c>
      <c r="E141" s="3" t="s">
        <v>313</v>
      </c>
      <c r="F141" s="1" t="s">
        <v>112</v>
      </c>
      <c r="G141" s="6">
        <v>843</v>
      </c>
      <c r="H141" s="7" t="s">
        <v>51</v>
      </c>
      <c r="I141" s="8" t="s">
        <v>8</v>
      </c>
      <c r="J141" s="7" t="s">
        <v>321</v>
      </c>
      <c r="K141" s="211">
        <v>611</v>
      </c>
      <c r="L141" s="30">
        <v>0</v>
      </c>
      <c r="M141" s="30">
        <f>866319.9+2623.8+9686.4+5875.5+75736.9+4305.3</f>
        <v>964547.80000000016</v>
      </c>
      <c r="N141" s="30">
        <v>0</v>
      </c>
      <c r="O141" s="30">
        <f t="shared" si="25"/>
        <v>0</v>
      </c>
      <c r="P141" s="30">
        <f t="shared" si="25"/>
        <v>0</v>
      </c>
      <c r="Q141" s="30">
        <f>P141*1.05</f>
        <v>0</v>
      </c>
      <c r="AK141" s="233">
        <f t="shared" si="13"/>
        <v>0</v>
      </c>
    </row>
    <row r="142" spans="1:37" ht="38.25">
      <c r="A142" s="225" t="s">
        <v>110</v>
      </c>
      <c r="B142" s="225" t="s">
        <v>9</v>
      </c>
      <c r="C142" s="225" t="s">
        <v>33</v>
      </c>
      <c r="D142" s="8"/>
      <c r="E142" s="3" t="s">
        <v>323</v>
      </c>
      <c r="F142" s="1" t="s">
        <v>112</v>
      </c>
      <c r="G142" s="6">
        <v>843</v>
      </c>
      <c r="H142" s="7" t="s">
        <v>51</v>
      </c>
      <c r="I142" s="8" t="s">
        <v>8</v>
      </c>
      <c r="J142" s="7" t="s">
        <v>325</v>
      </c>
      <c r="K142" s="211">
        <v>320</v>
      </c>
      <c r="L142" s="30">
        <f t="shared" ref="L142:Q142" si="26">L143+L144</f>
        <v>0</v>
      </c>
      <c r="M142" s="30">
        <f t="shared" si="26"/>
        <v>4176.8999999999996</v>
      </c>
      <c r="N142" s="30">
        <f t="shared" si="26"/>
        <v>3896.1</v>
      </c>
      <c r="O142" s="30">
        <f t="shared" si="26"/>
        <v>4090.9050000000002</v>
      </c>
      <c r="P142" s="30">
        <f t="shared" si="26"/>
        <v>4295.4502500000008</v>
      </c>
      <c r="Q142" s="30">
        <f t="shared" si="26"/>
        <v>4510.2227625000014</v>
      </c>
      <c r="AG142" s="233">
        <v>4176.8999999999996</v>
      </c>
      <c r="AK142" s="233">
        <f t="shared" si="13"/>
        <v>4176.8999999999996</v>
      </c>
    </row>
    <row r="143" spans="1:37" ht="76.5" hidden="1">
      <c r="A143" s="225" t="s">
        <v>110</v>
      </c>
      <c r="B143" s="225" t="s">
        <v>9</v>
      </c>
      <c r="C143" s="225" t="s">
        <v>33</v>
      </c>
      <c r="D143" s="8" t="s">
        <v>7</v>
      </c>
      <c r="E143" s="3" t="s">
        <v>324</v>
      </c>
      <c r="F143" s="1" t="s">
        <v>112</v>
      </c>
      <c r="G143" s="6">
        <v>843</v>
      </c>
      <c r="H143" s="7" t="s">
        <v>51</v>
      </c>
      <c r="I143" s="8" t="s">
        <v>8</v>
      </c>
      <c r="J143" s="7"/>
      <c r="K143" s="211"/>
      <c r="L143" s="30"/>
      <c r="M143" s="30"/>
      <c r="N143" s="30"/>
      <c r="O143" s="30"/>
      <c r="P143" s="30"/>
      <c r="Q143" s="30">
        <f>P143*1.05</f>
        <v>0</v>
      </c>
      <c r="AK143" s="233">
        <f t="shared" si="13"/>
        <v>0</v>
      </c>
    </row>
    <row r="144" spans="1:37" ht="76.5" hidden="1">
      <c r="A144" s="225" t="s">
        <v>110</v>
      </c>
      <c r="B144" s="225" t="s">
        <v>9</v>
      </c>
      <c r="C144" s="225" t="s">
        <v>33</v>
      </c>
      <c r="D144" s="8" t="s">
        <v>8</v>
      </c>
      <c r="E144" s="59" t="s">
        <v>79</v>
      </c>
      <c r="F144" s="1" t="s">
        <v>112</v>
      </c>
      <c r="G144" s="6">
        <v>843</v>
      </c>
      <c r="H144" s="7" t="s">
        <v>51</v>
      </c>
      <c r="I144" s="8" t="s">
        <v>8</v>
      </c>
      <c r="J144" s="7" t="s">
        <v>326</v>
      </c>
      <c r="K144" s="211">
        <v>320</v>
      </c>
      <c r="L144" s="30">
        <v>0</v>
      </c>
      <c r="M144" s="30">
        <v>4176.8999999999996</v>
      </c>
      <c r="N144" s="30">
        <v>3896.1</v>
      </c>
      <c r="O144" s="30">
        <f>N144*1.05</f>
        <v>4090.9050000000002</v>
      </c>
      <c r="P144" s="30">
        <f>O144*1.05</f>
        <v>4295.4502500000008</v>
      </c>
      <c r="Q144" s="30">
        <f>P144*1.05</f>
        <v>4510.2227625000014</v>
      </c>
      <c r="AK144" s="233">
        <f t="shared" si="13"/>
        <v>0</v>
      </c>
    </row>
    <row r="145" spans="1:37" ht="38.25">
      <c r="A145" s="225" t="s">
        <v>110</v>
      </c>
      <c r="B145" s="225" t="s">
        <v>9</v>
      </c>
      <c r="C145" s="225" t="s">
        <v>25</v>
      </c>
      <c r="D145" s="8"/>
      <c r="E145" s="59" t="s">
        <v>327</v>
      </c>
      <c r="F145" s="1" t="s">
        <v>112</v>
      </c>
      <c r="G145" s="6">
        <v>843</v>
      </c>
      <c r="H145" s="7" t="s">
        <v>51</v>
      </c>
      <c r="I145" s="8" t="s">
        <v>8</v>
      </c>
      <c r="J145" s="7" t="s">
        <v>328</v>
      </c>
      <c r="K145" s="211" t="s">
        <v>479</v>
      </c>
      <c r="L145" s="30">
        <f t="shared" ref="L145:Q145" si="27">L146+L147+R171+L192+L222</f>
        <v>3975.5</v>
      </c>
      <c r="M145" s="30">
        <f t="shared" si="27"/>
        <v>22329.599999999999</v>
      </c>
      <c r="N145" s="30">
        <f t="shared" si="27"/>
        <v>392.6</v>
      </c>
      <c r="O145" s="30">
        <f t="shared" si="27"/>
        <v>412.23</v>
      </c>
      <c r="P145" s="30">
        <f t="shared" si="27"/>
        <v>432.84150000000005</v>
      </c>
      <c r="Q145" s="30">
        <f t="shared" si="27"/>
        <v>454.48357500000009</v>
      </c>
      <c r="AG145" s="233">
        <v>10393</v>
      </c>
      <c r="AH145" s="233">
        <v>5000</v>
      </c>
      <c r="AI145" s="233">
        <v>-98.2</v>
      </c>
      <c r="AJ145" s="233">
        <v>7034.8</v>
      </c>
      <c r="AK145" s="233">
        <f t="shared" si="13"/>
        <v>22329.599999999999</v>
      </c>
    </row>
    <row r="146" spans="1:37" ht="38.25" hidden="1" customHeight="1">
      <c r="A146" s="225" t="s">
        <v>110</v>
      </c>
      <c r="B146" s="225" t="s">
        <v>9</v>
      </c>
      <c r="C146" s="225" t="s">
        <v>25</v>
      </c>
      <c r="D146" s="8" t="s">
        <v>7</v>
      </c>
      <c r="E146" s="59" t="s">
        <v>329</v>
      </c>
      <c r="F146" s="1" t="s">
        <v>112</v>
      </c>
      <c r="G146" s="6">
        <v>843</v>
      </c>
      <c r="H146" s="7" t="s">
        <v>51</v>
      </c>
      <c r="I146" s="8" t="s">
        <v>8</v>
      </c>
      <c r="J146" s="7" t="s">
        <v>331</v>
      </c>
      <c r="K146" s="211">
        <v>612</v>
      </c>
      <c r="L146" s="30">
        <v>0</v>
      </c>
      <c r="M146" s="30">
        <f>393+5000-98.2+7034.8</f>
        <v>12329.6</v>
      </c>
      <c r="N146" s="30">
        <v>392.6</v>
      </c>
      <c r="O146" s="30">
        <f t="shared" ref="O146:Q147" si="28">N146*1.05</f>
        <v>412.23</v>
      </c>
      <c r="P146" s="30">
        <f t="shared" si="28"/>
        <v>432.84150000000005</v>
      </c>
      <c r="Q146" s="30">
        <f t="shared" si="28"/>
        <v>454.48357500000009</v>
      </c>
      <c r="AK146" s="233">
        <f t="shared" si="13"/>
        <v>0</v>
      </c>
    </row>
    <row r="147" spans="1:37" ht="38.25" hidden="1" customHeight="1">
      <c r="A147" s="225" t="s">
        <v>110</v>
      </c>
      <c r="B147" s="225" t="s">
        <v>9</v>
      </c>
      <c r="C147" s="225" t="s">
        <v>25</v>
      </c>
      <c r="D147" s="8" t="s">
        <v>8</v>
      </c>
      <c r="E147" s="59" t="s">
        <v>330</v>
      </c>
      <c r="F147" s="1" t="s">
        <v>112</v>
      </c>
      <c r="G147" s="6">
        <v>843</v>
      </c>
      <c r="H147" s="7" t="s">
        <v>51</v>
      </c>
      <c r="I147" s="8" t="s">
        <v>25</v>
      </c>
      <c r="J147" s="7" t="s">
        <v>332</v>
      </c>
      <c r="K147" s="211" t="s">
        <v>392</v>
      </c>
      <c r="L147" s="30">
        <v>0</v>
      </c>
      <c r="M147" s="166">
        <v>10000</v>
      </c>
      <c r="N147" s="30">
        <v>0</v>
      </c>
      <c r="O147" s="30">
        <f t="shared" si="28"/>
        <v>0</v>
      </c>
      <c r="P147" s="30">
        <f t="shared" si="28"/>
        <v>0</v>
      </c>
      <c r="Q147" s="30">
        <f t="shared" si="28"/>
        <v>0</v>
      </c>
      <c r="AK147" s="233">
        <f t="shared" si="13"/>
        <v>0</v>
      </c>
    </row>
    <row r="148" spans="1:37" ht="38.25">
      <c r="A148" s="225" t="s">
        <v>110</v>
      </c>
      <c r="B148" s="225" t="s">
        <v>9</v>
      </c>
      <c r="C148" s="225" t="s">
        <v>6</v>
      </c>
      <c r="D148" s="225"/>
      <c r="E148" s="59" t="s">
        <v>333</v>
      </c>
      <c r="F148" s="1" t="s">
        <v>112</v>
      </c>
      <c r="G148" s="6">
        <v>843</v>
      </c>
      <c r="H148" s="7" t="s">
        <v>51</v>
      </c>
      <c r="I148" s="8" t="s">
        <v>9</v>
      </c>
      <c r="J148" s="7" t="s">
        <v>336</v>
      </c>
      <c r="K148" s="211" t="s">
        <v>480</v>
      </c>
      <c r="L148" s="30">
        <f t="shared" ref="L148:Q148" si="29">L149+L195</f>
        <v>45498.6</v>
      </c>
      <c r="M148" s="30">
        <f t="shared" si="29"/>
        <v>18410.5</v>
      </c>
      <c r="N148" s="30">
        <f t="shared" si="29"/>
        <v>13156.9</v>
      </c>
      <c r="O148" s="30">
        <f t="shared" si="29"/>
        <v>13814.745000000001</v>
      </c>
      <c r="P148" s="30">
        <f t="shared" si="29"/>
        <v>14505.482250000001</v>
      </c>
      <c r="Q148" s="30">
        <f t="shared" si="29"/>
        <v>15230.756362500002</v>
      </c>
      <c r="AG148" s="233">
        <v>20214</v>
      </c>
      <c r="AI148" s="233">
        <v>-1803.5</v>
      </c>
      <c r="AK148" s="233">
        <f t="shared" si="13"/>
        <v>18410.5</v>
      </c>
    </row>
    <row r="149" spans="1:37" ht="38.25" hidden="1" customHeight="1">
      <c r="A149" s="225" t="s">
        <v>110</v>
      </c>
      <c r="B149" s="225" t="s">
        <v>9</v>
      </c>
      <c r="C149" s="225" t="s">
        <v>6</v>
      </c>
      <c r="D149" s="225" t="s">
        <v>7</v>
      </c>
      <c r="E149" s="59" t="s">
        <v>334</v>
      </c>
      <c r="F149" s="1" t="s">
        <v>112</v>
      </c>
      <c r="G149" s="6">
        <v>843</v>
      </c>
      <c r="H149" s="7" t="s">
        <v>51</v>
      </c>
      <c r="I149" s="8" t="s">
        <v>9</v>
      </c>
      <c r="J149" s="7" t="s">
        <v>337</v>
      </c>
      <c r="K149" s="211" t="s">
        <v>393</v>
      </c>
      <c r="L149" s="30"/>
      <c r="M149" s="30">
        <f>20214-1803.5</f>
        <v>18410.5</v>
      </c>
      <c r="N149" s="30">
        <v>13156.9</v>
      </c>
      <c r="O149" s="30">
        <f>N149*1.05</f>
        <v>13814.745000000001</v>
      </c>
      <c r="P149" s="30">
        <f>O149*1.05</f>
        <v>14505.482250000001</v>
      </c>
      <c r="Q149" s="30">
        <f>P149*1.05</f>
        <v>15230.756362500002</v>
      </c>
      <c r="AK149" s="233">
        <f t="shared" si="13"/>
        <v>0</v>
      </c>
    </row>
    <row r="150" spans="1:37" ht="38.25" customHeight="1">
      <c r="A150" s="501" t="s">
        <v>110</v>
      </c>
      <c r="B150" s="501" t="s">
        <v>9</v>
      </c>
      <c r="C150" s="501" t="s">
        <v>34</v>
      </c>
      <c r="D150" s="501" t="s">
        <v>7</v>
      </c>
      <c r="E150" s="677" t="s">
        <v>335</v>
      </c>
      <c r="F150" s="519" t="s">
        <v>112</v>
      </c>
      <c r="G150" s="6">
        <v>843</v>
      </c>
      <c r="H150" s="7" t="s">
        <v>51</v>
      </c>
      <c r="I150" s="8" t="s">
        <v>9</v>
      </c>
      <c r="J150" s="7" t="s">
        <v>499</v>
      </c>
      <c r="K150" s="211" t="s">
        <v>481</v>
      </c>
      <c r="L150" s="30">
        <f>L162+L205</f>
        <v>6588.9</v>
      </c>
      <c r="M150" s="54">
        <v>32096.7</v>
      </c>
      <c r="N150" s="30">
        <f>N162+N205</f>
        <v>0</v>
      </c>
      <c r="O150" s="30">
        <f>O162+O205</f>
        <v>0</v>
      </c>
      <c r="P150" s="30">
        <f>P162+P205</f>
        <v>0</v>
      </c>
      <c r="Q150" s="30">
        <f>Q162+Q205</f>
        <v>0</v>
      </c>
      <c r="AG150" s="233">
        <v>55079.5</v>
      </c>
      <c r="AI150" s="233">
        <v>-1972.9</v>
      </c>
      <c r="AK150" s="233">
        <f t="shared" si="13"/>
        <v>53106.6</v>
      </c>
    </row>
    <row r="151" spans="1:37" ht="32.25" customHeight="1">
      <c r="A151" s="527"/>
      <c r="B151" s="527"/>
      <c r="C151" s="527"/>
      <c r="D151" s="527"/>
      <c r="E151" s="679"/>
      <c r="F151" s="665"/>
      <c r="G151" s="6">
        <v>843</v>
      </c>
      <c r="H151" s="24">
        <v>10</v>
      </c>
      <c r="I151" s="225" t="s">
        <v>9</v>
      </c>
      <c r="J151" s="7" t="s">
        <v>500</v>
      </c>
      <c r="K151" s="211" t="s">
        <v>481</v>
      </c>
      <c r="L151" s="30">
        <v>24323.919999999998</v>
      </c>
      <c r="M151" s="30">
        <v>4443.0559999999996</v>
      </c>
      <c r="N151" s="30">
        <v>0</v>
      </c>
      <c r="O151" s="30">
        <v>0</v>
      </c>
      <c r="P151" s="30">
        <v>0</v>
      </c>
      <c r="Q151" s="30">
        <v>0</v>
      </c>
      <c r="AK151" s="233">
        <f t="shared" si="13"/>
        <v>0</v>
      </c>
    </row>
    <row r="152" spans="1:37" ht="30" customHeight="1">
      <c r="A152" s="527"/>
      <c r="B152" s="527"/>
      <c r="C152" s="527"/>
      <c r="D152" s="527"/>
      <c r="E152" s="679"/>
      <c r="F152" s="519" t="s">
        <v>172</v>
      </c>
      <c r="G152" s="6">
        <v>835</v>
      </c>
      <c r="H152" s="7" t="s">
        <v>69</v>
      </c>
      <c r="I152" s="8" t="s">
        <v>10</v>
      </c>
      <c r="J152" s="7" t="s">
        <v>499</v>
      </c>
      <c r="K152" s="211">
        <v>810</v>
      </c>
      <c r="L152" s="30">
        <v>1987.4</v>
      </c>
      <c r="M152" s="30">
        <f>500+125.31</f>
        <v>625.30999999999995</v>
      </c>
      <c r="N152" s="30">
        <v>0</v>
      </c>
      <c r="O152" s="30">
        <v>0</v>
      </c>
      <c r="P152" s="30">
        <v>0</v>
      </c>
      <c r="Q152" s="30">
        <v>0</v>
      </c>
      <c r="AK152" s="233">
        <f t="shared" si="13"/>
        <v>0</v>
      </c>
    </row>
    <row r="153" spans="1:37" ht="28.5" customHeight="1">
      <c r="A153" s="527"/>
      <c r="B153" s="527"/>
      <c r="C153" s="527"/>
      <c r="D153" s="527"/>
      <c r="E153" s="679"/>
      <c r="F153" s="665"/>
      <c r="G153" s="6">
        <v>835</v>
      </c>
      <c r="H153" s="7" t="s">
        <v>69</v>
      </c>
      <c r="I153" s="8" t="s">
        <v>10</v>
      </c>
      <c r="J153" s="7" t="s">
        <v>500</v>
      </c>
      <c r="K153" s="211">
        <v>810</v>
      </c>
      <c r="L153" s="30">
        <v>4637.3</v>
      </c>
      <c r="M153" s="30">
        <v>792.4</v>
      </c>
      <c r="N153" s="30">
        <v>0</v>
      </c>
      <c r="O153" s="30">
        <v>0</v>
      </c>
      <c r="P153" s="30">
        <v>0</v>
      </c>
      <c r="Q153" s="30">
        <v>0</v>
      </c>
      <c r="AK153" s="233">
        <f t="shared" si="13"/>
        <v>0</v>
      </c>
    </row>
    <row r="154" spans="1:37" ht="25.5">
      <c r="A154" s="527"/>
      <c r="B154" s="527"/>
      <c r="C154" s="527"/>
      <c r="D154" s="527"/>
      <c r="E154" s="679"/>
      <c r="F154" s="519" t="s">
        <v>187</v>
      </c>
      <c r="G154" s="6">
        <v>874</v>
      </c>
      <c r="H154" s="7" t="s">
        <v>6</v>
      </c>
      <c r="I154" s="8" t="s">
        <v>10</v>
      </c>
      <c r="J154" s="7" t="s">
        <v>499</v>
      </c>
      <c r="K154" s="211" t="s">
        <v>491</v>
      </c>
      <c r="L154" s="30">
        <v>1500</v>
      </c>
      <c r="M154" s="30">
        <v>150</v>
      </c>
      <c r="N154" s="30">
        <v>0</v>
      </c>
      <c r="O154" s="30">
        <v>0</v>
      </c>
      <c r="P154" s="30">
        <v>0</v>
      </c>
      <c r="Q154" s="30">
        <v>0</v>
      </c>
      <c r="AK154" s="233">
        <f t="shared" si="13"/>
        <v>0</v>
      </c>
    </row>
    <row r="155" spans="1:37" ht="25.5">
      <c r="A155" s="527"/>
      <c r="B155" s="527"/>
      <c r="C155" s="527"/>
      <c r="D155" s="527"/>
      <c r="E155" s="679"/>
      <c r="F155" s="665"/>
      <c r="G155" s="6">
        <v>874</v>
      </c>
      <c r="H155" s="7" t="s">
        <v>6</v>
      </c>
      <c r="I155" s="8" t="s">
        <v>10</v>
      </c>
      <c r="J155" s="7" t="s">
        <v>500</v>
      </c>
      <c r="K155" s="211" t="s">
        <v>491</v>
      </c>
      <c r="L155" s="32">
        <v>3500</v>
      </c>
      <c r="M155" s="30">
        <v>12568.6</v>
      </c>
      <c r="N155" s="30">
        <v>0</v>
      </c>
      <c r="O155" s="30">
        <v>0</v>
      </c>
      <c r="P155" s="30">
        <v>0</v>
      </c>
      <c r="Q155" s="30">
        <v>0</v>
      </c>
      <c r="AK155" s="233">
        <f t="shared" si="13"/>
        <v>0</v>
      </c>
    </row>
    <row r="156" spans="1:37" ht="27.75" customHeight="1">
      <c r="A156" s="527"/>
      <c r="B156" s="527"/>
      <c r="C156" s="527"/>
      <c r="D156" s="527"/>
      <c r="E156" s="679"/>
      <c r="F156" s="519" t="s">
        <v>456</v>
      </c>
      <c r="G156" s="24">
        <v>847</v>
      </c>
      <c r="H156" s="24">
        <v>11</v>
      </c>
      <c r="I156" s="225" t="s">
        <v>33</v>
      </c>
      <c r="J156" s="7" t="s">
        <v>499</v>
      </c>
      <c r="K156" s="211" t="s">
        <v>491</v>
      </c>
      <c r="L156" s="32">
        <v>1985.3</v>
      </c>
      <c r="M156" s="30">
        <f>150+3635.31+70+400</f>
        <v>4255.3099999999995</v>
      </c>
      <c r="N156" s="30">
        <v>0</v>
      </c>
      <c r="O156" s="30">
        <v>0</v>
      </c>
      <c r="P156" s="30">
        <v>0</v>
      </c>
      <c r="Q156" s="30">
        <v>0</v>
      </c>
      <c r="AK156" s="233">
        <f t="shared" si="13"/>
        <v>0</v>
      </c>
    </row>
    <row r="157" spans="1:37" ht="27.75" customHeight="1">
      <c r="A157" s="527"/>
      <c r="B157" s="527"/>
      <c r="C157" s="527"/>
      <c r="D157" s="527"/>
      <c r="E157" s="679"/>
      <c r="F157" s="665"/>
      <c r="G157" s="24">
        <v>847</v>
      </c>
      <c r="H157" s="24">
        <v>11</v>
      </c>
      <c r="I157" s="225" t="s">
        <v>33</v>
      </c>
      <c r="J157" s="7" t="s">
        <v>500</v>
      </c>
      <c r="K157" s="211" t="s">
        <v>491</v>
      </c>
      <c r="L157" s="32">
        <v>4636.8999999999996</v>
      </c>
      <c r="M157" s="30">
        <v>1482.4</v>
      </c>
      <c r="N157" s="30">
        <v>0</v>
      </c>
      <c r="O157" s="30">
        <v>0</v>
      </c>
      <c r="P157" s="30">
        <v>0</v>
      </c>
      <c r="Q157" s="30">
        <v>0</v>
      </c>
      <c r="AK157" s="233">
        <f t="shared" ref="AK157:AK220" si="30">AG157+AH157+AI157+AJ157</f>
        <v>0</v>
      </c>
    </row>
    <row r="158" spans="1:37" ht="15" customHeight="1">
      <c r="A158" s="527"/>
      <c r="B158" s="527"/>
      <c r="C158" s="527"/>
      <c r="D158" s="527"/>
      <c r="E158" s="679"/>
      <c r="F158" s="519" t="s">
        <v>457</v>
      </c>
      <c r="G158" s="24">
        <v>855</v>
      </c>
      <c r="H158" s="225" t="s">
        <v>35</v>
      </c>
      <c r="I158" s="225" t="s">
        <v>35</v>
      </c>
      <c r="J158" s="7" t="s">
        <v>499</v>
      </c>
      <c r="K158" s="211">
        <v>612</v>
      </c>
      <c r="L158" s="32">
        <v>960.1</v>
      </c>
      <c r="M158" s="30">
        <f>1027.3+150+3635.31</f>
        <v>4812.6099999999997</v>
      </c>
      <c r="N158" s="30">
        <v>0</v>
      </c>
      <c r="O158" s="30">
        <v>0</v>
      </c>
      <c r="P158" s="30">
        <v>0</v>
      </c>
      <c r="Q158" s="30">
        <v>0</v>
      </c>
      <c r="AK158" s="233">
        <f t="shared" si="30"/>
        <v>0</v>
      </c>
    </row>
    <row r="159" spans="1:37" ht="25.5">
      <c r="A159" s="527"/>
      <c r="B159" s="527"/>
      <c r="C159" s="527"/>
      <c r="D159" s="527"/>
      <c r="E159" s="679"/>
      <c r="F159" s="665"/>
      <c r="G159" s="24">
        <v>855</v>
      </c>
      <c r="H159" s="225" t="s">
        <v>35</v>
      </c>
      <c r="I159" s="225" t="s">
        <v>35</v>
      </c>
      <c r="J159" s="7" t="s">
        <v>500</v>
      </c>
      <c r="K159" s="211">
        <v>612</v>
      </c>
      <c r="L159" s="32">
        <v>4637.3</v>
      </c>
      <c r="M159" s="30">
        <v>1482.4</v>
      </c>
      <c r="N159" s="30">
        <v>0</v>
      </c>
      <c r="O159" s="30">
        <v>0</v>
      </c>
      <c r="P159" s="30">
        <v>0</v>
      </c>
      <c r="Q159" s="30">
        <v>0</v>
      </c>
      <c r="AK159" s="233">
        <f t="shared" si="30"/>
        <v>0</v>
      </c>
    </row>
    <row r="160" spans="1:37" ht="29.25" customHeight="1">
      <c r="A160" s="527"/>
      <c r="B160" s="527"/>
      <c r="C160" s="527"/>
      <c r="D160" s="527"/>
      <c r="E160" s="679"/>
      <c r="F160" s="519" t="s">
        <v>458</v>
      </c>
      <c r="G160" s="24">
        <v>857</v>
      </c>
      <c r="H160" s="225" t="s">
        <v>34</v>
      </c>
      <c r="I160" s="225" t="s">
        <v>10</v>
      </c>
      <c r="J160" s="7" t="s">
        <v>499</v>
      </c>
      <c r="K160" s="211" t="s">
        <v>491</v>
      </c>
      <c r="L160" s="32">
        <v>1900.6</v>
      </c>
      <c r="M160" s="30">
        <f>86.8+150+3635.31+2000+85.71</f>
        <v>5957.8200000000006</v>
      </c>
      <c r="N160" s="30">
        <v>0</v>
      </c>
      <c r="O160" s="30">
        <v>0</v>
      </c>
      <c r="P160" s="30">
        <v>0</v>
      </c>
      <c r="Q160" s="30">
        <v>0</v>
      </c>
      <c r="AK160" s="233">
        <f t="shared" si="30"/>
        <v>0</v>
      </c>
    </row>
    <row r="161" spans="1:37" ht="25.5">
      <c r="A161" s="527"/>
      <c r="B161" s="527"/>
      <c r="C161" s="527"/>
      <c r="D161" s="527"/>
      <c r="E161" s="679"/>
      <c r="F161" s="665"/>
      <c r="G161" s="24">
        <v>857</v>
      </c>
      <c r="H161" s="225" t="s">
        <v>34</v>
      </c>
      <c r="I161" s="225" t="s">
        <v>10</v>
      </c>
      <c r="J161" s="7" t="s">
        <v>500</v>
      </c>
      <c r="K161" s="211" t="s">
        <v>491</v>
      </c>
      <c r="L161" s="32">
        <v>4637.3</v>
      </c>
      <c r="M161" s="30">
        <v>1682.4</v>
      </c>
      <c r="N161" s="30">
        <v>0</v>
      </c>
      <c r="O161" s="30">
        <v>0</v>
      </c>
      <c r="P161" s="30">
        <v>0</v>
      </c>
      <c r="Q161" s="30">
        <v>0</v>
      </c>
      <c r="AK161" s="233">
        <f t="shared" si="30"/>
        <v>0</v>
      </c>
    </row>
    <row r="162" spans="1:37" ht="63.75" hidden="1" customHeight="1">
      <c r="A162" s="527"/>
      <c r="B162" s="527"/>
      <c r="C162" s="527"/>
      <c r="D162" s="527"/>
      <c r="E162" s="679"/>
      <c r="F162" s="1" t="s">
        <v>112</v>
      </c>
      <c r="G162" s="6">
        <v>843</v>
      </c>
      <c r="H162" s="7" t="s">
        <v>51</v>
      </c>
      <c r="I162" s="8" t="s">
        <v>25</v>
      </c>
      <c r="J162" s="7" t="s">
        <v>338</v>
      </c>
      <c r="K162" s="211" t="s">
        <v>392</v>
      </c>
      <c r="L162" s="30">
        <v>0</v>
      </c>
      <c r="M162" s="30">
        <v>55079.5</v>
      </c>
      <c r="N162" s="30">
        <v>0</v>
      </c>
      <c r="O162" s="30">
        <v>0</v>
      </c>
      <c r="P162" s="30">
        <v>0</v>
      </c>
      <c r="Q162" s="30">
        <f>P162*1.05</f>
        <v>0</v>
      </c>
      <c r="AK162" s="233">
        <f t="shared" si="30"/>
        <v>0</v>
      </c>
    </row>
    <row r="163" spans="1:37" ht="15" customHeight="1">
      <c r="A163" s="527"/>
      <c r="B163" s="527"/>
      <c r="C163" s="527"/>
      <c r="D163" s="527"/>
      <c r="E163" s="679"/>
      <c r="F163" s="519" t="s">
        <v>501</v>
      </c>
      <c r="G163" s="6">
        <v>845</v>
      </c>
      <c r="H163" s="7" t="s">
        <v>7</v>
      </c>
      <c r="I163" s="8" t="s">
        <v>10</v>
      </c>
      <c r="J163" s="7" t="s">
        <v>499</v>
      </c>
      <c r="K163" s="211">
        <v>240</v>
      </c>
      <c r="L163" s="30">
        <v>0</v>
      </c>
      <c r="M163" s="30">
        <f>150+5058.85</f>
        <v>5208.8500000000004</v>
      </c>
      <c r="N163" s="30">
        <v>0</v>
      </c>
      <c r="O163" s="30">
        <v>0</v>
      </c>
      <c r="P163" s="30">
        <v>0</v>
      </c>
      <c r="Q163" s="30">
        <v>0</v>
      </c>
      <c r="AK163" s="233">
        <f t="shared" si="30"/>
        <v>0</v>
      </c>
    </row>
    <row r="164" spans="1:37" ht="25.5">
      <c r="A164" s="502"/>
      <c r="B164" s="502"/>
      <c r="C164" s="502"/>
      <c r="D164" s="502"/>
      <c r="E164" s="678"/>
      <c r="F164" s="665"/>
      <c r="G164" s="6">
        <v>845</v>
      </c>
      <c r="H164" s="7" t="s">
        <v>7</v>
      </c>
      <c r="I164" s="8" t="s">
        <v>10</v>
      </c>
      <c r="J164" s="7" t="s">
        <v>503</v>
      </c>
      <c r="K164" s="211">
        <v>240</v>
      </c>
      <c r="L164" s="30">
        <v>0</v>
      </c>
      <c r="M164" s="30">
        <v>2470.66</v>
      </c>
      <c r="N164" s="30">
        <v>0</v>
      </c>
      <c r="O164" s="30">
        <v>0</v>
      </c>
      <c r="P164" s="30">
        <v>0</v>
      </c>
      <c r="Q164" s="30">
        <v>0</v>
      </c>
      <c r="AK164" s="233">
        <f t="shared" si="30"/>
        <v>0</v>
      </c>
    </row>
    <row r="165" spans="1:37" ht="51">
      <c r="A165" s="225" t="s">
        <v>110</v>
      </c>
      <c r="B165" s="225" t="s">
        <v>9</v>
      </c>
      <c r="C165" s="225" t="s">
        <v>35</v>
      </c>
      <c r="D165" s="225"/>
      <c r="E165" s="59" t="s">
        <v>339</v>
      </c>
      <c r="F165" s="1" t="s">
        <v>112</v>
      </c>
      <c r="G165" s="6">
        <v>843</v>
      </c>
      <c r="H165" s="7" t="s">
        <v>51</v>
      </c>
      <c r="I165" s="8" t="s">
        <v>25</v>
      </c>
      <c r="J165" s="7" t="s">
        <v>345</v>
      </c>
      <c r="K165" s="211">
        <v>612</v>
      </c>
      <c r="L165" s="30">
        <f t="shared" ref="L165:Q165" si="31">L166+L217</f>
        <v>9153.2999999999993</v>
      </c>
      <c r="M165" s="30">
        <f t="shared" si="31"/>
        <v>12806.3</v>
      </c>
      <c r="N165" s="30">
        <f t="shared" si="31"/>
        <v>17058</v>
      </c>
      <c r="O165" s="30">
        <f t="shared" si="31"/>
        <v>17910.900000000001</v>
      </c>
      <c r="P165" s="30">
        <f t="shared" si="31"/>
        <v>18806.445000000003</v>
      </c>
      <c r="Q165" s="30">
        <f t="shared" si="31"/>
        <v>19746.767250000004</v>
      </c>
      <c r="AG165" s="233">
        <v>17075.099999999999</v>
      </c>
      <c r="AI165" s="233">
        <v>-4268.8</v>
      </c>
      <c r="AK165" s="233">
        <f t="shared" si="30"/>
        <v>12806.3</v>
      </c>
    </row>
    <row r="166" spans="1:37" ht="51" hidden="1" customHeight="1">
      <c r="A166" s="225" t="s">
        <v>110</v>
      </c>
      <c r="B166" s="225" t="s">
        <v>9</v>
      </c>
      <c r="C166" s="225" t="s">
        <v>35</v>
      </c>
      <c r="D166" s="225" t="s">
        <v>7</v>
      </c>
      <c r="E166" s="59" t="s">
        <v>340</v>
      </c>
      <c r="F166" s="1" t="s">
        <v>112</v>
      </c>
      <c r="G166" s="6">
        <v>843</v>
      </c>
      <c r="H166" s="7" t="s">
        <v>51</v>
      </c>
      <c r="I166" s="8" t="s">
        <v>25</v>
      </c>
      <c r="J166" s="7" t="s">
        <v>346</v>
      </c>
      <c r="K166" s="211">
        <v>612</v>
      </c>
      <c r="L166" s="30">
        <v>0</v>
      </c>
      <c r="M166" s="30">
        <f>17075.1-4268.8</f>
        <v>12806.3</v>
      </c>
      <c r="N166" s="30">
        <v>17058</v>
      </c>
      <c r="O166" s="30">
        <f>N166*1.05</f>
        <v>17910.900000000001</v>
      </c>
      <c r="P166" s="30">
        <f>O166*1.05</f>
        <v>18806.445000000003</v>
      </c>
      <c r="Q166" s="30">
        <f>P166*1.05</f>
        <v>19746.767250000004</v>
      </c>
      <c r="AK166" s="233">
        <f t="shared" si="30"/>
        <v>0</v>
      </c>
    </row>
    <row r="167" spans="1:37" ht="30" customHeight="1">
      <c r="A167" s="675" t="s">
        <v>110</v>
      </c>
      <c r="B167" s="501" t="s">
        <v>9</v>
      </c>
      <c r="C167" s="501" t="s">
        <v>51</v>
      </c>
      <c r="D167" s="501"/>
      <c r="E167" s="677" t="s">
        <v>341</v>
      </c>
      <c r="F167" s="519" t="s">
        <v>112</v>
      </c>
      <c r="G167" s="6">
        <v>843</v>
      </c>
      <c r="H167" s="7" t="s">
        <v>51</v>
      </c>
      <c r="I167" s="8" t="s">
        <v>25</v>
      </c>
      <c r="J167" s="7" t="s">
        <v>492</v>
      </c>
      <c r="K167" s="211">
        <v>612</v>
      </c>
      <c r="L167" s="30">
        <f>L169+L220+L168+3450.5</f>
        <v>6901</v>
      </c>
      <c r="M167" s="30">
        <f>M169+M220+M168</f>
        <v>16991.900000000001</v>
      </c>
      <c r="N167" s="30">
        <f>N169+N220+N168</f>
        <v>5189.7</v>
      </c>
      <c r="O167" s="30">
        <f>O169+O220+O168</f>
        <v>5449.1850000000004</v>
      </c>
      <c r="P167" s="30">
        <f>P169+P220+P168</f>
        <v>5721.6442500000003</v>
      </c>
      <c r="Q167" s="30">
        <f>Q169+Q220+Q168</f>
        <v>6007.7264625000007</v>
      </c>
      <c r="AG167" s="233">
        <v>5194.8999999999996</v>
      </c>
      <c r="AI167" s="233">
        <v>11797</v>
      </c>
      <c r="AK167" s="233">
        <f t="shared" si="30"/>
        <v>16991.900000000001</v>
      </c>
    </row>
    <row r="168" spans="1:37" ht="21" customHeight="1">
      <c r="A168" s="676"/>
      <c r="B168" s="502"/>
      <c r="C168" s="502"/>
      <c r="D168" s="502"/>
      <c r="E168" s="678"/>
      <c r="F168" s="665"/>
      <c r="G168" s="6">
        <v>843</v>
      </c>
      <c r="H168" s="211">
        <v>10</v>
      </c>
      <c r="I168" s="8" t="s">
        <v>25</v>
      </c>
      <c r="J168" s="7" t="s">
        <v>462</v>
      </c>
      <c r="K168" s="211"/>
      <c r="L168" s="33">
        <f>3450.5-3450.5</f>
        <v>0</v>
      </c>
      <c r="M168" s="30">
        <v>0</v>
      </c>
      <c r="N168" s="30">
        <v>0</v>
      </c>
      <c r="O168" s="30">
        <v>0</v>
      </c>
      <c r="P168" s="30">
        <v>0</v>
      </c>
      <c r="Q168" s="30">
        <v>0</v>
      </c>
      <c r="AK168" s="233">
        <f t="shared" si="30"/>
        <v>0</v>
      </c>
    </row>
    <row r="169" spans="1:37" ht="89.25" hidden="1" customHeight="1">
      <c r="A169" s="225" t="s">
        <v>110</v>
      </c>
      <c r="B169" s="225" t="s">
        <v>9</v>
      </c>
      <c r="C169" s="225" t="s">
        <v>51</v>
      </c>
      <c r="D169" s="225" t="s">
        <v>7</v>
      </c>
      <c r="E169" s="59" t="s">
        <v>342</v>
      </c>
      <c r="F169" s="1" t="s">
        <v>112</v>
      </c>
      <c r="G169" s="6">
        <v>843</v>
      </c>
      <c r="H169" s="7" t="s">
        <v>51</v>
      </c>
      <c r="I169" s="8" t="s">
        <v>25</v>
      </c>
      <c r="J169" s="7" t="s">
        <v>465</v>
      </c>
      <c r="K169" s="211">
        <v>612</v>
      </c>
      <c r="L169" s="30">
        <v>0</v>
      </c>
      <c r="M169" s="30">
        <f>5194.9+11797</f>
        <v>16991.900000000001</v>
      </c>
      <c r="N169" s="30">
        <v>5189.7</v>
      </c>
      <c r="O169" s="30">
        <f>N169*1.05</f>
        <v>5449.1850000000004</v>
      </c>
      <c r="P169" s="30">
        <f>O169*1.05</f>
        <v>5721.6442500000003</v>
      </c>
      <c r="Q169" s="30">
        <f>P169*1.05</f>
        <v>6007.7264625000007</v>
      </c>
      <c r="AK169" s="233">
        <f t="shared" si="30"/>
        <v>0</v>
      </c>
    </row>
    <row r="170" spans="1:37" ht="38.25">
      <c r="A170" s="225" t="s">
        <v>110</v>
      </c>
      <c r="B170" s="225" t="s">
        <v>9</v>
      </c>
      <c r="C170" s="225" t="s">
        <v>68</v>
      </c>
      <c r="D170" s="8"/>
      <c r="E170" s="59" t="s">
        <v>343</v>
      </c>
      <c r="F170" s="1" t="s">
        <v>112</v>
      </c>
      <c r="G170" s="6">
        <v>843</v>
      </c>
      <c r="H170" s="7" t="s">
        <v>51</v>
      </c>
      <c r="I170" s="8" t="s">
        <v>8</v>
      </c>
      <c r="J170" s="7" t="s">
        <v>347</v>
      </c>
      <c r="K170" s="211">
        <v>630</v>
      </c>
      <c r="L170" s="30">
        <f t="shared" ref="L170:Q170" si="32">L171</f>
        <v>0</v>
      </c>
      <c r="M170" s="30">
        <f t="shared" si="32"/>
        <v>62.3</v>
      </c>
      <c r="N170" s="30">
        <f t="shared" si="32"/>
        <v>0</v>
      </c>
      <c r="O170" s="30">
        <f t="shared" si="32"/>
        <v>0</v>
      </c>
      <c r="P170" s="30">
        <f t="shared" si="32"/>
        <v>0</v>
      </c>
      <c r="Q170" s="30">
        <f t="shared" si="32"/>
        <v>0</v>
      </c>
      <c r="AG170" s="233">
        <v>100</v>
      </c>
      <c r="AI170" s="233">
        <v>-25</v>
      </c>
      <c r="AJ170" s="233">
        <v>-12.7</v>
      </c>
      <c r="AK170" s="233">
        <f t="shared" si="30"/>
        <v>62.3</v>
      </c>
    </row>
    <row r="171" spans="1:37" ht="38.25" hidden="1" customHeight="1">
      <c r="A171" s="225" t="s">
        <v>110</v>
      </c>
      <c r="B171" s="225" t="s">
        <v>9</v>
      </c>
      <c r="C171" s="225" t="s">
        <v>68</v>
      </c>
      <c r="D171" s="8" t="s">
        <v>7</v>
      </c>
      <c r="E171" s="59" t="s">
        <v>344</v>
      </c>
      <c r="F171" s="1" t="s">
        <v>112</v>
      </c>
      <c r="G171" s="6">
        <v>843</v>
      </c>
      <c r="H171" s="7" t="s">
        <v>51</v>
      </c>
      <c r="I171" s="8" t="s">
        <v>8</v>
      </c>
      <c r="J171" s="7" t="s">
        <v>348</v>
      </c>
      <c r="K171" s="211">
        <v>630</v>
      </c>
      <c r="L171" s="30">
        <v>0</v>
      </c>
      <c r="M171" s="30">
        <f>100-25-12.7</f>
        <v>62.3</v>
      </c>
      <c r="N171" s="30">
        <v>0</v>
      </c>
      <c r="O171" s="30">
        <f>N171*1.05</f>
        <v>0</v>
      </c>
      <c r="P171" s="30">
        <f>O171*1.05</f>
        <v>0</v>
      </c>
      <c r="Q171" s="30">
        <f>P171*1.05</f>
        <v>0</v>
      </c>
      <c r="AK171" s="233">
        <f t="shared" si="30"/>
        <v>0</v>
      </c>
    </row>
    <row r="172" spans="1:37" s="18" customFormat="1" ht="51">
      <c r="A172" s="8"/>
      <c r="B172" s="8"/>
      <c r="C172" s="8"/>
      <c r="D172" s="6"/>
      <c r="E172" s="2" t="s">
        <v>486</v>
      </c>
      <c r="F172" s="1" t="s">
        <v>112</v>
      </c>
      <c r="G172" s="6">
        <v>843</v>
      </c>
      <c r="H172" s="8" t="s">
        <v>51</v>
      </c>
      <c r="I172" s="8" t="s">
        <v>8</v>
      </c>
      <c r="J172" s="7" t="s">
        <v>489</v>
      </c>
      <c r="K172" s="211" t="s">
        <v>493</v>
      </c>
      <c r="L172" s="32">
        <f>SUM(L173:L174)</f>
        <v>189560.5</v>
      </c>
      <c r="M172" s="32">
        <f>SUM(M173:M174)</f>
        <v>0</v>
      </c>
      <c r="N172" s="32">
        <f>SUM(N173:N174)-N173-N174</f>
        <v>0</v>
      </c>
      <c r="O172" s="32">
        <f>SUM(O173:O174)-O173-O174</f>
        <v>0</v>
      </c>
      <c r="P172" s="32">
        <f>SUM(P173:P174)-P173-P174</f>
        <v>0</v>
      </c>
      <c r="Q172" s="32">
        <f>SUM(Q173:Q174)-Q173-Q174</f>
        <v>0</v>
      </c>
      <c r="AF172" s="235"/>
      <c r="AG172" s="235"/>
      <c r="AH172" s="235"/>
      <c r="AI172" s="235"/>
      <c r="AJ172" s="235"/>
      <c r="AK172" s="233">
        <f t="shared" si="30"/>
        <v>0</v>
      </c>
    </row>
    <row r="173" spans="1:37" ht="51" hidden="1" customHeight="1">
      <c r="A173" s="225"/>
      <c r="B173" s="225"/>
      <c r="C173" s="225"/>
      <c r="D173" s="8"/>
      <c r="E173" s="226" t="s">
        <v>26</v>
      </c>
      <c r="F173" s="1" t="s">
        <v>112</v>
      </c>
      <c r="G173" s="6">
        <v>843</v>
      </c>
      <c r="H173" s="8" t="s">
        <v>51</v>
      </c>
      <c r="I173" s="8" t="s">
        <v>8</v>
      </c>
      <c r="J173" s="8" t="s">
        <v>150</v>
      </c>
      <c r="K173" s="211" t="s">
        <v>95</v>
      </c>
      <c r="L173" s="32">
        <v>145145.5</v>
      </c>
      <c r="M173" s="32">
        <v>0</v>
      </c>
      <c r="N173" s="32">
        <v>123590.6</v>
      </c>
      <c r="O173" s="30">
        <f t="shared" ref="O173:Q174" si="33">N173*1.05</f>
        <v>129770.13</v>
      </c>
      <c r="P173" s="30">
        <f t="shared" si="33"/>
        <v>136258.63650000002</v>
      </c>
      <c r="Q173" s="30">
        <f t="shared" si="33"/>
        <v>143071.56832500003</v>
      </c>
      <c r="AK173" s="233">
        <f t="shared" si="30"/>
        <v>0</v>
      </c>
    </row>
    <row r="174" spans="1:37" ht="38.25" hidden="1" customHeight="1">
      <c r="A174" s="225"/>
      <c r="B174" s="225"/>
      <c r="C174" s="225"/>
      <c r="D174" s="8"/>
      <c r="E174" s="226" t="s">
        <v>27</v>
      </c>
      <c r="F174" s="1" t="s">
        <v>112</v>
      </c>
      <c r="G174" s="6">
        <v>843</v>
      </c>
      <c r="H174" s="211">
        <v>10</v>
      </c>
      <c r="I174" s="7" t="s">
        <v>8</v>
      </c>
      <c r="J174" s="7" t="s">
        <v>151</v>
      </c>
      <c r="K174" s="211" t="s">
        <v>96</v>
      </c>
      <c r="L174" s="32">
        <v>44415</v>
      </c>
      <c r="M174" s="32">
        <v>0</v>
      </c>
      <c r="N174" s="32">
        <v>32041.599999999999</v>
      </c>
      <c r="O174" s="30">
        <f t="shared" si="33"/>
        <v>33643.68</v>
      </c>
      <c r="P174" s="30">
        <f t="shared" si="33"/>
        <v>35325.864000000001</v>
      </c>
      <c r="Q174" s="30">
        <f t="shared" si="33"/>
        <v>37092.157200000001</v>
      </c>
      <c r="AK174" s="233">
        <f t="shared" si="30"/>
        <v>0</v>
      </c>
    </row>
    <row r="175" spans="1:37" s="18" customFormat="1" ht="67.5" customHeight="1">
      <c r="A175" s="213"/>
      <c r="B175" s="213"/>
      <c r="C175" s="213"/>
      <c r="D175" s="217"/>
      <c r="E175" s="216" t="s">
        <v>487</v>
      </c>
      <c r="F175" s="1" t="s">
        <v>112</v>
      </c>
      <c r="G175" s="6">
        <v>843</v>
      </c>
      <c r="H175" s="211">
        <v>10</v>
      </c>
      <c r="I175" s="7" t="s">
        <v>8</v>
      </c>
      <c r="J175" s="7" t="s">
        <v>490</v>
      </c>
      <c r="K175" s="211" t="s">
        <v>494</v>
      </c>
      <c r="L175" s="32">
        <f>SUM(L176:L183)</f>
        <v>1286084</v>
      </c>
      <c r="M175" s="32">
        <f>SUM(M176:M183)</f>
        <v>0</v>
      </c>
      <c r="N175" s="32">
        <f>SUM(N176:N183)-N176-N177-N178-N179-N180-N181-N182-N183</f>
        <v>4.638422979041934E-11</v>
      </c>
      <c r="O175" s="32">
        <f>SUM(O176:O183)-O176-O177-O178-O179-O180-O181-O182-O183</f>
        <v>3.5925040720030665E-11</v>
      </c>
      <c r="P175" s="32">
        <f>SUM(P176:P183)-P176-P177-P178-P179-P180-P181-P182-P183</f>
        <v>2.9285729397088289E-10</v>
      </c>
      <c r="Q175" s="32">
        <f>SUM(Q176:Q183)-Q176-Q177-Q178-Q179-Q180-Q181-Q182-Q183</f>
        <v>1.850821718107909E-10</v>
      </c>
      <c r="R175" s="175">
        <f>N172+N175-R176-R179-R180</f>
        <v>-998081.99999999988</v>
      </c>
      <c r="S175" s="175">
        <f>O172+O175-S176-S179-S180</f>
        <v>-1047986.1</v>
      </c>
      <c r="T175" s="175">
        <f>P172+P175-T176-T179-T180</f>
        <v>-1100385.4049999998</v>
      </c>
      <c r="U175" s="175">
        <f>Q172+Q175-U176-U179-U180</f>
        <v>-1155404.6752499999</v>
      </c>
      <c r="AF175" s="235"/>
      <c r="AG175" s="235"/>
      <c r="AH175" s="235"/>
      <c r="AI175" s="235"/>
      <c r="AJ175" s="235"/>
      <c r="AK175" s="233">
        <f t="shared" si="30"/>
        <v>0</v>
      </c>
    </row>
    <row r="176" spans="1:37" ht="38.25" hidden="1" customHeight="1">
      <c r="A176" s="225"/>
      <c r="B176" s="225"/>
      <c r="C176" s="225"/>
      <c r="D176" s="8"/>
      <c r="E176" s="226" t="s">
        <v>28</v>
      </c>
      <c r="F176" s="1" t="s">
        <v>112</v>
      </c>
      <c r="G176" s="6">
        <v>843</v>
      </c>
      <c r="H176" s="211">
        <v>10</v>
      </c>
      <c r="I176" s="7" t="s">
        <v>8</v>
      </c>
      <c r="J176" s="7" t="s">
        <v>141</v>
      </c>
      <c r="K176" s="211">
        <v>611</v>
      </c>
      <c r="L176" s="32">
        <v>58967.1</v>
      </c>
      <c r="M176" s="32">
        <v>0</v>
      </c>
      <c r="N176" s="32">
        <v>43713.599999999999</v>
      </c>
      <c r="O176" s="30">
        <f t="shared" ref="O176:Q191" si="34">N176*1.05</f>
        <v>45899.28</v>
      </c>
      <c r="P176" s="30">
        <f t="shared" si="34"/>
        <v>48194.243999999999</v>
      </c>
      <c r="Q176" s="30">
        <f t="shared" si="34"/>
        <v>50603.956200000001</v>
      </c>
      <c r="R176" s="56">
        <f>N176+N177+N178</f>
        <v>417656.3</v>
      </c>
      <c r="S176" s="56">
        <f>O176+O177+O178</f>
        <v>438539.11500000005</v>
      </c>
      <c r="T176" s="56">
        <f>P176+P177+P178</f>
        <v>460466.07075000007</v>
      </c>
      <c r="U176" s="56">
        <f>Q176+Q177+Q178</f>
        <v>483489.37428750005</v>
      </c>
      <c r="AK176" s="233">
        <f t="shared" si="30"/>
        <v>0</v>
      </c>
    </row>
    <row r="177" spans="1:37" ht="38.25" hidden="1" customHeight="1">
      <c r="A177" s="225"/>
      <c r="B177" s="225"/>
      <c r="C177" s="225"/>
      <c r="D177" s="8"/>
      <c r="E177" s="226" t="s">
        <v>29</v>
      </c>
      <c r="F177" s="1" t="s">
        <v>112</v>
      </c>
      <c r="G177" s="6">
        <v>843</v>
      </c>
      <c r="H177" s="211">
        <v>10</v>
      </c>
      <c r="I177" s="7" t="s">
        <v>8</v>
      </c>
      <c r="J177" s="7" t="s">
        <v>142</v>
      </c>
      <c r="K177" s="211">
        <v>611</v>
      </c>
      <c r="L177" s="32">
        <v>370261.6</v>
      </c>
      <c r="M177" s="32">
        <v>0</v>
      </c>
      <c r="N177" s="32">
        <v>276754.2</v>
      </c>
      <c r="O177" s="30">
        <f t="shared" si="34"/>
        <v>290591.91000000003</v>
      </c>
      <c r="P177" s="30">
        <f t="shared" si="34"/>
        <v>305121.50550000003</v>
      </c>
      <c r="Q177" s="30">
        <f t="shared" si="34"/>
        <v>320377.58077500004</v>
      </c>
      <c r="AK177" s="233">
        <f t="shared" si="30"/>
        <v>0</v>
      </c>
    </row>
    <row r="178" spans="1:37" ht="38.25" hidden="1" customHeight="1">
      <c r="A178" s="225"/>
      <c r="B178" s="225"/>
      <c r="C178" s="225"/>
      <c r="D178" s="8"/>
      <c r="E178" s="226" t="s">
        <v>30</v>
      </c>
      <c r="F178" s="1" t="s">
        <v>112</v>
      </c>
      <c r="G178" s="6">
        <v>843</v>
      </c>
      <c r="H178" s="211">
        <v>10</v>
      </c>
      <c r="I178" s="7" t="s">
        <v>8</v>
      </c>
      <c r="J178" s="7" t="s">
        <v>143</v>
      </c>
      <c r="K178" s="211">
        <v>611</v>
      </c>
      <c r="L178" s="32">
        <v>122834</v>
      </c>
      <c r="M178" s="32">
        <v>0</v>
      </c>
      <c r="N178" s="32">
        <v>97188.5</v>
      </c>
      <c r="O178" s="30">
        <f t="shared" si="34"/>
        <v>102047.925</v>
      </c>
      <c r="P178" s="30">
        <f t="shared" si="34"/>
        <v>107150.32125000001</v>
      </c>
      <c r="Q178" s="30">
        <f t="shared" si="34"/>
        <v>112507.83731250001</v>
      </c>
      <c r="AK178" s="233">
        <f t="shared" si="30"/>
        <v>0</v>
      </c>
    </row>
    <row r="179" spans="1:37" ht="38.25" hidden="1" customHeight="1">
      <c r="A179" s="225"/>
      <c r="B179" s="225"/>
      <c r="C179" s="225"/>
      <c r="D179" s="8"/>
      <c r="E179" s="226" t="s">
        <v>31</v>
      </c>
      <c r="F179" s="1" t="s">
        <v>112</v>
      </c>
      <c r="G179" s="6">
        <v>843</v>
      </c>
      <c r="H179" s="211">
        <v>10</v>
      </c>
      <c r="I179" s="7" t="s">
        <v>8</v>
      </c>
      <c r="J179" s="7" t="s">
        <v>144</v>
      </c>
      <c r="K179" s="211">
        <v>611</v>
      </c>
      <c r="L179" s="32">
        <v>40711.699999999997</v>
      </c>
      <c r="M179" s="32">
        <v>0</v>
      </c>
      <c r="N179" s="32">
        <v>32775.1</v>
      </c>
      <c r="O179" s="30">
        <f t="shared" si="34"/>
        <v>34413.855000000003</v>
      </c>
      <c r="P179" s="30">
        <f t="shared" si="34"/>
        <v>36134.547750000005</v>
      </c>
      <c r="Q179" s="30">
        <f t="shared" si="34"/>
        <v>37941.275137500008</v>
      </c>
      <c r="R179" s="56">
        <f>N179</f>
        <v>32775.1</v>
      </c>
      <c r="S179" s="56">
        <f>O179</f>
        <v>34413.855000000003</v>
      </c>
      <c r="T179" s="56">
        <f>P179</f>
        <v>36134.547750000005</v>
      </c>
      <c r="U179" s="56">
        <f>Q179</f>
        <v>37941.275137500008</v>
      </c>
      <c r="AK179" s="233">
        <f t="shared" si="30"/>
        <v>0</v>
      </c>
    </row>
    <row r="180" spans="1:37" ht="38.25" hidden="1" customHeight="1">
      <c r="A180" s="225"/>
      <c r="B180" s="225"/>
      <c r="C180" s="225"/>
      <c r="D180" s="8"/>
      <c r="E180" s="226" t="s">
        <v>32</v>
      </c>
      <c r="F180" s="1" t="s">
        <v>112</v>
      </c>
      <c r="G180" s="6">
        <v>843</v>
      </c>
      <c r="H180" s="211">
        <v>10</v>
      </c>
      <c r="I180" s="7" t="s">
        <v>8</v>
      </c>
      <c r="J180" s="7" t="s">
        <v>152</v>
      </c>
      <c r="K180" s="211">
        <v>611</v>
      </c>
      <c r="L180" s="32">
        <v>10043.299999999999</v>
      </c>
      <c r="M180" s="32">
        <v>0</v>
      </c>
      <c r="N180" s="32">
        <v>6890.1</v>
      </c>
      <c r="O180" s="30">
        <f t="shared" si="34"/>
        <v>7234.6050000000005</v>
      </c>
      <c r="P180" s="30">
        <f t="shared" si="34"/>
        <v>7596.335250000001</v>
      </c>
      <c r="Q180" s="30">
        <f t="shared" si="34"/>
        <v>7976.1520125000015</v>
      </c>
      <c r="R180" s="56">
        <f>N172+N180+N181+N182+N183</f>
        <v>547650.6</v>
      </c>
      <c r="S180" s="56">
        <f>O172+O180+O181+O182+O183</f>
        <v>575033.13</v>
      </c>
      <c r="T180" s="56">
        <f>P172+P180+P181+P182+P183</f>
        <v>603784.78649999993</v>
      </c>
      <c r="U180" s="56">
        <f>Q172+Q180+Q181+Q182+Q183</f>
        <v>633974.02582500002</v>
      </c>
      <c r="AK180" s="233">
        <f t="shared" si="30"/>
        <v>0</v>
      </c>
    </row>
    <row r="181" spans="1:37" ht="38.25" hidden="1" customHeight="1">
      <c r="A181" s="7"/>
      <c r="B181" s="8"/>
      <c r="C181" s="8"/>
      <c r="D181" s="8"/>
      <c r="E181" s="1" t="s">
        <v>88</v>
      </c>
      <c r="F181" s="1" t="s">
        <v>112</v>
      </c>
      <c r="G181" s="6">
        <v>843</v>
      </c>
      <c r="H181" s="211">
        <v>10</v>
      </c>
      <c r="I181" s="7" t="s">
        <v>8</v>
      </c>
      <c r="J181" s="7" t="s">
        <v>153</v>
      </c>
      <c r="K181" s="211">
        <v>611</v>
      </c>
      <c r="L181" s="32">
        <v>668638.1</v>
      </c>
      <c r="M181" s="32">
        <v>0</v>
      </c>
      <c r="N181" s="32">
        <v>526310.69999999995</v>
      </c>
      <c r="O181" s="30">
        <f t="shared" si="34"/>
        <v>552626.23499999999</v>
      </c>
      <c r="P181" s="30">
        <f t="shared" si="34"/>
        <v>580257.54674999998</v>
      </c>
      <c r="Q181" s="30">
        <f t="shared" si="34"/>
        <v>609270.42408749997</v>
      </c>
      <c r="S181" s="56"/>
      <c r="T181" s="56"/>
      <c r="U181" s="56"/>
      <c r="AK181" s="233">
        <f t="shared" si="30"/>
        <v>0</v>
      </c>
    </row>
    <row r="182" spans="1:37" ht="38.25" hidden="1" customHeight="1">
      <c r="A182" s="219"/>
      <c r="B182" s="213"/>
      <c r="C182" s="213"/>
      <c r="D182" s="8"/>
      <c r="E182" s="1" t="s">
        <v>168</v>
      </c>
      <c r="F182" s="1" t="s">
        <v>112</v>
      </c>
      <c r="G182" s="6">
        <v>843</v>
      </c>
      <c r="H182" s="211">
        <v>10</v>
      </c>
      <c r="I182" s="7" t="s">
        <v>8</v>
      </c>
      <c r="J182" s="7" t="s">
        <v>171</v>
      </c>
      <c r="K182" s="211">
        <v>611</v>
      </c>
      <c r="L182" s="32">
        <v>11371.1</v>
      </c>
      <c r="M182" s="32">
        <v>0</v>
      </c>
      <c r="N182" s="32">
        <v>11196</v>
      </c>
      <c r="O182" s="30">
        <f t="shared" si="34"/>
        <v>11755.800000000001</v>
      </c>
      <c r="P182" s="30">
        <f t="shared" si="34"/>
        <v>12343.590000000002</v>
      </c>
      <c r="Q182" s="30">
        <f t="shared" si="34"/>
        <v>12960.769500000002</v>
      </c>
      <c r="AK182" s="233">
        <f t="shared" si="30"/>
        <v>0</v>
      </c>
    </row>
    <row r="183" spans="1:37" ht="38.25" hidden="1" customHeight="1">
      <c r="A183" s="7"/>
      <c r="B183" s="8"/>
      <c r="C183" s="8"/>
      <c r="D183" s="8"/>
      <c r="E183" s="1" t="s">
        <v>169</v>
      </c>
      <c r="F183" s="1" t="s">
        <v>112</v>
      </c>
      <c r="G183" s="6">
        <v>843</v>
      </c>
      <c r="H183" s="211">
        <v>10</v>
      </c>
      <c r="I183" s="7" t="s">
        <v>8</v>
      </c>
      <c r="J183" s="7" t="s">
        <v>170</v>
      </c>
      <c r="K183" s="211">
        <v>611</v>
      </c>
      <c r="L183" s="32">
        <v>3257.1</v>
      </c>
      <c r="M183" s="32">
        <v>0</v>
      </c>
      <c r="N183" s="32">
        <v>3253.8</v>
      </c>
      <c r="O183" s="30">
        <f t="shared" si="34"/>
        <v>3416.4900000000002</v>
      </c>
      <c r="P183" s="30">
        <f t="shared" si="34"/>
        <v>3587.3145000000004</v>
      </c>
      <c r="Q183" s="30">
        <f t="shared" si="34"/>
        <v>3766.6802250000005</v>
      </c>
      <c r="AK183" s="233">
        <f t="shared" si="30"/>
        <v>0</v>
      </c>
    </row>
    <row r="184" spans="1:37" ht="38.25" hidden="1">
      <c r="A184" s="225"/>
      <c r="B184" s="225"/>
      <c r="C184" s="225"/>
      <c r="D184" s="8"/>
      <c r="E184" s="1" t="s">
        <v>65</v>
      </c>
      <c r="F184" s="1" t="s">
        <v>112</v>
      </c>
      <c r="G184" s="6">
        <v>843</v>
      </c>
      <c r="H184" s="211">
        <v>10</v>
      </c>
      <c r="I184" s="7" t="s">
        <v>8</v>
      </c>
      <c r="J184" s="7" t="s">
        <v>139</v>
      </c>
      <c r="K184" s="211" t="s">
        <v>109</v>
      </c>
      <c r="L184" s="32">
        <f>9352.3+22420.8</f>
        <v>31773.1</v>
      </c>
      <c r="M184" s="32">
        <v>0</v>
      </c>
      <c r="N184" s="100">
        <v>32779.9</v>
      </c>
      <c r="O184" s="166">
        <f t="shared" si="34"/>
        <v>34418.895000000004</v>
      </c>
      <c r="P184" s="166">
        <f t="shared" si="34"/>
        <v>36139.839750000006</v>
      </c>
      <c r="Q184" s="166">
        <f t="shared" si="34"/>
        <v>37946.831737500012</v>
      </c>
      <c r="AK184" s="233">
        <f t="shared" si="30"/>
        <v>0</v>
      </c>
    </row>
    <row r="185" spans="1:37" ht="38.25">
      <c r="A185" s="225"/>
      <c r="B185" s="225"/>
      <c r="C185" s="225"/>
      <c r="D185" s="8"/>
      <c r="E185" s="226" t="s">
        <v>80</v>
      </c>
      <c r="F185" s="1" t="s">
        <v>112</v>
      </c>
      <c r="G185" s="6">
        <v>843</v>
      </c>
      <c r="H185" s="211">
        <v>10</v>
      </c>
      <c r="I185" s="7" t="s">
        <v>8</v>
      </c>
      <c r="J185" s="7" t="s">
        <v>145</v>
      </c>
      <c r="K185" s="211">
        <v>321</v>
      </c>
      <c r="L185" s="32">
        <v>127.9</v>
      </c>
      <c r="M185" s="32">
        <v>0</v>
      </c>
      <c r="N185" s="32">
        <v>0</v>
      </c>
      <c r="O185" s="32">
        <v>0</v>
      </c>
      <c r="P185" s="32">
        <v>0</v>
      </c>
      <c r="Q185" s="30">
        <f t="shared" si="34"/>
        <v>0</v>
      </c>
      <c r="AK185" s="233">
        <f t="shared" si="30"/>
        <v>0</v>
      </c>
    </row>
    <row r="186" spans="1:37" ht="51">
      <c r="A186" s="225"/>
      <c r="B186" s="225"/>
      <c r="C186" s="225"/>
      <c r="D186" s="8"/>
      <c r="E186" s="226" t="s">
        <v>82</v>
      </c>
      <c r="F186" s="1" t="s">
        <v>112</v>
      </c>
      <c r="G186" s="6">
        <v>843</v>
      </c>
      <c r="H186" s="211">
        <v>10</v>
      </c>
      <c r="I186" s="7" t="s">
        <v>8</v>
      </c>
      <c r="J186" s="7" t="s">
        <v>146</v>
      </c>
      <c r="K186" s="211">
        <v>321</v>
      </c>
      <c r="L186" s="32">
        <v>628.70000000000005</v>
      </c>
      <c r="M186" s="32">
        <v>0</v>
      </c>
      <c r="N186" s="32">
        <v>0</v>
      </c>
      <c r="O186" s="32">
        <v>0</v>
      </c>
      <c r="P186" s="32">
        <v>0</v>
      </c>
      <c r="Q186" s="30">
        <f t="shared" si="34"/>
        <v>0</v>
      </c>
      <c r="AK186" s="233">
        <f t="shared" si="30"/>
        <v>0</v>
      </c>
    </row>
    <row r="187" spans="1:37" ht="51">
      <c r="A187" s="225"/>
      <c r="B187" s="225"/>
      <c r="C187" s="225"/>
      <c r="D187" s="8"/>
      <c r="E187" s="226" t="s">
        <v>81</v>
      </c>
      <c r="F187" s="1" t="s">
        <v>112</v>
      </c>
      <c r="G187" s="6">
        <v>843</v>
      </c>
      <c r="H187" s="211">
        <v>10</v>
      </c>
      <c r="I187" s="7" t="s">
        <v>8</v>
      </c>
      <c r="J187" s="7" t="s">
        <v>147</v>
      </c>
      <c r="K187" s="211">
        <v>321</v>
      </c>
      <c r="L187" s="32">
        <v>0.5</v>
      </c>
      <c r="M187" s="32">
        <v>0</v>
      </c>
      <c r="N187" s="32">
        <v>0</v>
      </c>
      <c r="O187" s="32">
        <v>0</v>
      </c>
      <c r="P187" s="32">
        <v>0</v>
      </c>
      <c r="Q187" s="30">
        <f t="shared" si="34"/>
        <v>0</v>
      </c>
      <c r="AK187" s="233">
        <f t="shared" si="30"/>
        <v>0</v>
      </c>
    </row>
    <row r="188" spans="1:37" ht="38.25">
      <c r="A188" s="50"/>
      <c r="B188" s="50"/>
      <c r="C188" s="50"/>
      <c r="D188" s="50"/>
      <c r="E188" s="226" t="s">
        <v>77</v>
      </c>
      <c r="F188" s="1" t="s">
        <v>112</v>
      </c>
      <c r="G188" s="6">
        <v>843</v>
      </c>
      <c r="H188" s="211">
        <v>10</v>
      </c>
      <c r="I188" s="7" t="s">
        <v>8</v>
      </c>
      <c r="J188" s="7" t="s">
        <v>148</v>
      </c>
      <c r="K188" s="211">
        <v>340</v>
      </c>
      <c r="L188" s="32">
        <v>2183.8000000000002</v>
      </c>
      <c r="M188" s="32">
        <v>0</v>
      </c>
      <c r="N188" s="32">
        <v>0</v>
      </c>
      <c r="O188" s="32">
        <v>0</v>
      </c>
      <c r="P188" s="32">
        <v>0</v>
      </c>
      <c r="Q188" s="30">
        <f t="shared" si="34"/>
        <v>0</v>
      </c>
      <c r="AK188" s="233">
        <f t="shared" si="30"/>
        <v>0</v>
      </c>
    </row>
    <row r="189" spans="1:37" ht="76.5" hidden="1" customHeight="1">
      <c r="A189" s="225"/>
      <c r="B189" s="225"/>
      <c r="C189" s="225"/>
      <c r="D189" s="8"/>
      <c r="E189" s="226" t="s">
        <v>78</v>
      </c>
      <c r="F189" s="1" t="s">
        <v>112</v>
      </c>
      <c r="G189" s="6">
        <v>843</v>
      </c>
      <c r="H189" s="211">
        <v>10</v>
      </c>
      <c r="I189" s="7" t="s">
        <v>8</v>
      </c>
      <c r="J189" s="7" t="s">
        <v>148</v>
      </c>
      <c r="K189" s="8" t="s">
        <v>52</v>
      </c>
      <c r="L189" s="32"/>
      <c r="M189" s="32">
        <v>0</v>
      </c>
      <c r="N189" s="32">
        <v>0</v>
      </c>
      <c r="O189" s="32">
        <v>0</v>
      </c>
      <c r="P189" s="32">
        <v>0</v>
      </c>
      <c r="Q189" s="30">
        <f t="shared" si="34"/>
        <v>0</v>
      </c>
      <c r="AK189" s="233">
        <f t="shared" si="30"/>
        <v>0</v>
      </c>
    </row>
    <row r="190" spans="1:37" ht="38.25">
      <c r="A190" s="225"/>
      <c r="B190" s="225"/>
      <c r="C190" s="225"/>
      <c r="D190" s="8"/>
      <c r="E190" s="226" t="s">
        <v>306</v>
      </c>
      <c r="F190" s="1"/>
      <c r="G190" s="6">
        <v>843</v>
      </c>
      <c r="H190" s="211">
        <v>10</v>
      </c>
      <c r="I190" s="7" t="s">
        <v>8</v>
      </c>
      <c r="J190" s="7" t="s">
        <v>463</v>
      </c>
      <c r="K190" s="8" t="s">
        <v>52</v>
      </c>
      <c r="L190" s="32">
        <v>40.700000000000003</v>
      </c>
      <c r="M190" s="32">
        <v>0</v>
      </c>
      <c r="N190" s="32">
        <v>0</v>
      </c>
      <c r="O190" s="32">
        <v>0</v>
      </c>
      <c r="P190" s="32">
        <v>0</v>
      </c>
      <c r="Q190" s="30">
        <f t="shared" si="34"/>
        <v>0</v>
      </c>
      <c r="AK190" s="233">
        <f t="shared" si="30"/>
        <v>0</v>
      </c>
    </row>
    <row r="191" spans="1:37" ht="76.5">
      <c r="A191" s="225"/>
      <c r="B191" s="225"/>
      <c r="C191" s="225"/>
      <c r="D191" s="8"/>
      <c r="E191" s="226" t="s">
        <v>79</v>
      </c>
      <c r="F191" s="1" t="s">
        <v>112</v>
      </c>
      <c r="G191" s="6">
        <v>843</v>
      </c>
      <c r="H191" s="211">
        <v>10</v>
      </c>
      <c r="I191" s="7" t="s">
        <v>8</v>
      </c>
      <c r="J191" s="7" t="s">
        <v>149</v>
      </c>
      <c r="K191" s="211">
        <v>321</v>
      </c>
      <c r="L191" s="32">
        <v>3328.5</v>
      </c>
      <c r="M191" s="32">
        <v>0</v>
      </c>
      <c r="N191" s="32">
        <v>0</v>
      </c>
      <c r="O191" s="32">
        <v>0</v>
      </c>
      <c r="P191" s="32">
        <v>0</v>
      </c>
      <c r="Q191" s="30">
        <f t="shared" si="34"/>
        <v>0</v>
      </c>
      <c r="AK191" s="233">
        <f t="shared" si="30"/>
        <v>0</v>
      </c>
    </row>
    <row r="192" spans="1:37" ht="38.25" hidden="1" customHeight="1">
      <c r="A192" s="7"/>
      <c r="B192" s="8"/>
      <c r="C192" s="225"/>
      <c r="D192" s="8"/>
      <c r="E192" s="2" t="s">
        <v>71</v>
      </c>
      <c r="F192" s="1" t="s">
        <v>112</v>
      </c>
      <c r="G192" s="6">
        <v>843</v>
      </c>
      <c r="H192" s="211">
        <v>10</v>
      </c>
      <c r="I192" s="7" t="s">
        <v>8</v>
      </c>
      <c r="J192" s="7" t="s">
        <v>140</v>
      </c>
      <c r="K192" s="211"/>
      <c r="L192" s="32">
        <v>202.6</v>
      </c>
      <c r="M192" s="32">
        <v>0</v>
      </c>
      <c r="N192" s="32">
        <v>0</v>
      </c>
      <c r="O192" s="32">
        <v>0</v>
      </c>
      <c r="P192" s="32">
        <v>0</v>
      </c>
      <c r="Q192" s="30">
        <f t="shared" ref="Q192:Q239" si="35">P192*1.05</f>
        <v>0</v>
      </c>
      <c r="AK192" s="233">
        <f t="shared" si="30"/>
        <v>0</v>
      </c>
    </row>
    <row r="193" spans="1:37" ht="38.25" hidden="1" customHeight="1">
      <c r="A193" s="225"/>
      <c r="B193" s="8"/>
      <c r="C193" s="225"/>
      <c r="D193" s="8"/>
      <c r="E193" s="2" t="s">
        <v>89</v>
      </c>
      <c r="F193" s="1" t="s">
        <v>112</v>
      </c>
      <c r="G193" s="6">
        <v>843</v>
      </c>
      <c r="H193" s="211">
        <v>10</v>
      </c>
      <c r="I193" s="7" t="s">
        <v>8</v>
      </c>
      <c r="J193" s="7" t="s">
        <v>140</v>
      </c>
      <c r="K193" s="211">
        <v>612</v>
      </c>
      <c r="L193" s="32">
        <v>202.6</v>
      </c>
      <c r="M193" s="32">
        <v>0</v>
      </c>
      <c r="N193" s="32">
        <v>0</v>
      </c>
      <c r="O193" s="32">
        <v>0</v>
      </c>
      <c r="P193" s="32">
        <v>0</v>
      </c>
      <c r="Q193" s="30">
        <f t="shared" si="35"/>
        <v>0</v>
      </c>
      <c r="AK193" s="233">
        <f t="shared" si="30"/>
        <v>0</v>
      </c>
    </row>
    <row r="194" spans="1:37" ht="51" hidden="1" customHeight="1">
      <c r="A194" s="225"/>
      <c r="B194" s="8"/>
      <c r="C194" s="225"/>
      <c r="D194" s="8"/>
      <c r="E194" s="2" t="s">
        <v>91</v>
      </c>
      <c r="F194" s="1" t="s">
        <v>112</v>
      </c>
      <c r="G194" s="6">
        <v>843</v>
      </c>
      <c r="H194" s="211">
        <v>10</v>
      </c>
      <c r="I194" s="7" t="s">
        <v>8</v>
      </c>
      <c r="J194" s="7" t="s">
        <v>140</v>
      </c>
      <c r="K194" s="211">
        <v>321</v>
      </c>
      <c r="L194" s="32"/>
      <c r="M194" s="32">
        <v>0</v>
      </c>
      <c r="N194" s="32">
        <v>0</v>
      </c>
      <c r="O194" s="32">
        <v>0</v>
      </c>
      <c r="P194" s="32">
        <v>0</v>
      </c>
      <c r="Q194" s="30">
        <f t="shared" si="35"/>
        <v>0</v>
      </c>
      <c r="AK194" s="233">
        <f t="shared" si="30"/>
        <v>0</v>
      </c>
    </row>
    <row r="195" spans="1:37" ht="44.25" hidden="1" customHeight="1">
      <c r="A195" s="7"/>
      <c r="B195" s="8"/>
      <c r="C195" s="8"/>
      <c r="D195" s="213"/>
      <c r="E195" s="2" t="s">
        <v>90</v>
      </c>
      <c r="F195" s="1" t="s">
        <v>112</v>
      </c>
      <c r="G195" s="6">
        <v>843</v>
      </c>
      <c r="H195" s="211">
        <v>10</v>
      </c>
      <c r="I195" s="7" t="s">
        <v>8</v>
      </c>
      <c r="J195" s="7" t="s">
        <v>154</v>
      </c>
      <c r="K195" s="211" t="s">
        <v>98</v>
      </c>
      <c r="L195" s="32">
        <v>45498.6</v>
      </c>
      <c r="M195" s="32">
        <v>0</v>
      </c>
      <c r="N195" s="32">
        <v>0</v>
      </c>
      <c r="O195" s="32">
        <v>0</v>
      </c>
      <c r="P195" s="32">
        <v>0</v>
      </c>
      <c r="Q195" s="30">
        <f t="shared" si="35"/>
        <v>0</v>
      </c>
      <c r="AK195" s="233">
        <f t="shared" si="30"/>
        <v>0</v>
      </c>
    </row>
    <row r="196" spans="1:37" ht="38.25" hidden="1" customHeight="1">
      <c r="A196" s="225"/>
      <c r="B196" s="8"/>
      <c r="C196" s="8"/>
      <c r="D196" s="213"/>
      <c r="E196" s="17" t="s">
        <v>100</v>
      </c>
      <c r="F196" s="1" t="s">
        <v>112</v>
      </c>
      <c r="G196" s="6">
        <v>843</v>
      </c>
      <c r="H196" s="211">
        <v>10</v>
      </c>
      <c r="I196" s="7" t="s">
        <v>8</v>
      </c>
      <c r="J196" s="7" t="s">
        <v>154</v>
      </c>
      <c r="K196" s="211">
        <v>321</v>
      </c>
      <c r="L196" s="32">
        <v>41624.51053</v>
      </c>
      <c r="M196" s="32">
        <v>0</v>
      </c>
      <c r="N196" s="32">
        <v>0</v>
      </c>
      <c r="O196" s="32">
        <v>0</v>
      </c>
      <c r="P196" s="32">
        <v>0</v>
      </c>
      <c r="Q196" s="30">
        <f t="shared" si="35"/>
        <v>0</v>
      </c>
      <c r="AK196" s="233">
        <f t="shared" si="30"/>
        <v>0</v>
      </c>
    </row>
    <row r="197" spans="1:37" ht="38.25" hidden="1" customHeight="1">
      <c r="A197" s="225"/>
      <c r="B197" s="8"/>
      <c r="C197" s="8"/>
      <c r="D197" s="213"/>
      <c r="E197" s="226" t="s">
        <v>101</v>
      </c>
      <c r="F197" s="1" t="s">
        <v>112</v>
      </c>
      <c r="G197" s="6">
        <v>843</v>
      </c>
      <c r="H197" s="211">
        <v>10</v>
      </c>
      <c r="I197" s="7" t="s">
        <v>8</v>
      </c>
      <c r="J197" s="7" t="s">
        <v>97</v>
      </c>
      <c r="K197" s="211"/>
      <c r="L197" s="32"/>
      <c r="M197" s="32">
        <v>0</v>
      </c>
      <c r="N197" s="32">
        <v>0</v>
      </c>
      <c r="O197" s="32">
        <v>0</v>
      </c>
      <c r="P197" s="32">
        <v>0</v>
      </c>
      <c r="Q197" s="30">
        <f t="shared" si="35"/>
        <v>0</v>
      </c>
      <c r="AK197" s="233">
        <f t="shared" si="30"/>
        <v>0</v>
      </c>
    </row>
    <row r="198" spans="1:37" ht="38.25" hidden="1" customHeight="1">
      <c r="A198" s="7"/>
      <c r="B198" s="8"/>
      <c r="C198" s="8"/>
      <c r="D198" s="213"/>
      <c r="E198" s="226" t="s">
        <v>102</v>
      </c>
      <c r="F198" s="1" t="s">
        <v>112</v>
      </c>
      <c r="G198" s="6">
        <v>843</v>
      </c>
      <c r="H198" s="211">
        <v>10</v>
      </c>
      <c r="I198" s="7" t="s">
        <v>8</v>
      </c>
      <c r="J198" s="7" t="s">
        <v>97</v>
      </c>
      <c r="K198" s="211"/>
      <c r="L198" s="32"/>
      <c r="M198" s="32">
        <v>0</v>
      </c>
      <c r="N198" s="32">
        <v>0</v>
      </c>
      <c r="O198" s="32">
        <v>0</v>
      </c>
      <c r="P198" s="32">
        <v>0</v>
      </c>
      <c r="Q198" s="30">
        <f t="shared" si="35"/>
        <v>0</v>
      </c>
      <c r="AK198" s="233">
        <f t="shared" si="30"/>
        <v>0</v>
      </c>
    </row>
    <row r="199" spans="1:37" ht="89.25" hidden="1" customHeight="1">
      <c r="A199" s="225"/>
      <c r="B199" s="8"/>
      <c r="C199" s="8"/>
      <c r="D199" s="213"/>
      <c r="E199" s="226" t="s">
        <v>103</v>
      </c>
      <c r="F199" s="1" t="s">
        <v>112</v>
      </c>
      <c r="G199" s="6">
        <v>843</v>
      </c>
      <c r="H199" s="211">
        <v>10</v>
      </c>
      <c r="I199" s="7" t="s">
        <v>8</v>
      </c>
      <c r="J199" s="7" t="s">
        <v>97</v>
      </c>
      <c r="K199" s="211"/>
      <c r="L199" s="32"/>
      <c r="M199" s="32">
        <v>0</v>
      </c>
      <c r="N199" s="32">
        <v>0</v>
      </c>
      <c r="O199" s="32">
        <v>0</v>
      </c>
      <c r="P199" s="32">
        <v>0</v>
      </c>
      <c r="Q199" s="30">
        <f t="shared" si="35"/>
        <v>0</v>
      </c>
      <c r="AK199" s="233">
        <f t="shared" si="30"/>
        <v>0</v>
      </c>
    </row>
    <row r="200" spans="1:37" ht="38.25" hidden="1" customHeight="1">
      <c r="A200" s="225"/>
      <c r="B200" s="8"/>
      <c r="C200" s="8"/>
      <c r="D200" s="213"/>
      <c r="E200" s="226" t="s">
        <v>104</v>
      </c>
      <c r="F200" s="1" t="s">
        <v>112</v>
      </c>
      <c r="G200" s="6">
        <v>843</v>
      </c>
      <c r="H200" s="211">
        <v>10</v>
      </c>
      <c r="I200" s="7" t="s">
        <v>8</v>
      </c>
      <c r="J200" s="7" t="s">
        <v>97</v>
      </c>
      <c r="K200" s="211"/>
      <c r="L200" s="32"/>
      <c r="M200" s="32">
        <v>0</v>
      </c>
      <c r="N200" s="32">
        <v>0</v>
      </c>
      <c r="O200" s="32">
        <v>0</v>
      </c>
      <c r="P200" s="32">
        <v>0</v>
      </c>
      <c r="Q200" s="30">
        <f t="shared" si="35"/>
        <v>0</v>
      </c>
      <c r="AK200" s="233">
        <f t="shared" si="30"/>
        <v>0</v>
      </c>
    </row>
    <row r="201" spans="1:37" ht="38.25" hidden="1" customHeight="1">
      <c r="A201" s="7"/>
      <c r="B201" s="8"/>
      <c r="C201" s="8"/>
      <c r="D201" s="213"/>
      <c r="E201" s="226" t="s">
        <v>105</v>
      </c>
      <c r="F201" s="1" t="s">
        <v>112</v>
      </c>
      <c r="G201" s="6">
        <v>843</v>
      </c>
      <c r="H201" s="211">
        <v>10</v>
      </c>
      <c r="I201" s="7" t="s">
        <v>8</v>
      </c>
      <c r="J201" s="7" t="s">
        <v>97</v>
      </c>
      <c r="K201" s="211"/>
      <c r="L201" s="32"/>
      <c r="M201" s="32">
        <v>0</v>
      </c>
      <c r="N201" s="32">
        <v>0</v>
      </c>
      <c r="O201" s="32">
        <v>0</v>
      </c>
      <c r="P201" s="32">
        <v>0</v>
      </c>
      <c r="Q201" s="30">
        <f t="shared" si="35"/>
        <v>0</v>
      </c>
      <c r="AK201" s="233">
        <f t="shared" si="30"/>
        <v>0</v>
      </c>
    </row>
    <row r="202" spans="1:37" ht="38.25" hidden="1" customHeight="1">
      <c r="A202" s="225"/>
      <c r="B202" s="8"/>
      <c r="C202" s="8"/>
      <c r="D202" s="213"/>
      <c r="E202" s="17" t="s">
        <v>106</v>
      </c>
      <c r="F202" s="1" t="s">
        <v>112</v>
      </c>
      <c r="G202" s="6">
        <v>843</v>
      </c>
      <c r="H202" s="211">
        <v>10</v>
      </c>
      <c r="I202" s="7" t="s">
        <v>8</v>
      </c>
      <c r="J202" s="7" t="s">
        <v>154</v>
      </c>
      <c r="K202" s="211">
        <v>244</v>
      </c>
      <c r="L202" s="32">
        <f>L195-L196</f>
        <v>3874.089469999999</v>
      </c>
      <c r="M202" s="32">
        <v>0</v>
      </c>
      <c r="N202" s="32">
        <v>0</v>
      </c>
      <c r="O202" s="32">
        <v>0</v>
      </c>
      <c r="P202" s="32">
        <v>0</v>
      </c>
      <c r="Q202" s="30">
        <f t="shared" si="35"/>
        <v>0</v>
      </c>
      <c r="AK202" s="233">
        <f t="shared" si="30"/>
        <v>0</v>
      </c>
    </row>
    <row r="203" spans="1:37" ht="51" hidden="1" customHeight="1">
      <c r="A203" s="225"/>
      <c r="B203" s="8"/>
      <c r="C203" s="8"/>
      <c r="D203" s="213"/>
      <c r="E203" s="226" t="s">
        <v>107</v>
      </c>
      <c r="F203" s="1" t="s">
        <v>112</v>
      </c>
      <c r="G203" s="6">
        <v>843</v>
      </c>
      <c r="H203" s="211">
        <v>10</v>
      </c>
      <c r="I203" s="7" t="s">
        <v>8</v>
      </c>
      <c r="J203" s="7" t="s">
        <v>97</v>
      </c>
      <c r="K203" s="211"/>
      <c r="L203" s="32"/>
      <c r="M203" s="32">
        <v>0</v>
      </c>
      <c r="N203" s="32">
        <v>0</v>
      </c>
      <c r="O203" s="32">
        <v>0</v>
      </c>
      <c r="P203" s="32">
        <v>0</v>
      </c>
      <c r="Q203" s="30">
        <f t="shared" si="35"/>
        <v>0</v>
      </c>
      <c r="AK203" s="233">
        <f t="shared" si="30"/>
        <v>0</v>
      </c>
    </row>
    <row r="204" spans="1:37" ht="114.75" hidden="1" customHeight="1">
      <c r="A204" s="7"/>
      <c r="B204" s="8"/>
      <c r="C204" s="8"/>
      <c r="D204" s="213"/>
      <c r="E204" s="226" t="s">
        <v>108</v>
      </c>
      <c r="F204" s="1" t="s">
        <v>112</v>
      </c>
      <c r="G204" s="6">
        <v>843</v>
      </c>
      <c r="H204" s="211">
        <v>10</v>
      </c>
      <c r="I204" s="7" t="s">
        <v>8</v>
      </c>
      <c r="J204" s="7" t="s">
        <v>97</v>
      </c>
      <c r="K204" s="211"/>
      <c r="L204" s="32"/>
      <c r="M204" s="32">
        <v>0</v>
      </c>
      <c r="N204" s="32">
        <v>0</v>
      </c>
      <c r="O204" s="32">
        <v>0</v>
      </c>
      <c r="P204" s="32">
        <v>0</v>
      </c>
      <c r="Q204" s="30">
        <f t="shared" si="35"/>
        <v>0</v>
      </c>
      <c r="AK204" s="233">
        <f t="shared" si="30"/>
        <v>0</v>
      </c>
    </row>
    <row r="205" spans="1:37" ht="27.75" hidden="1" customHeight="1">
      <c r="A205" s="501"/>
      <c r="B205" s="501"/>
      <c r="C205" s="501"/>
      <c r="D205" s="501"/>
      <c r="E205" s="519" t="s">
        <v>175</v>
      </c>
      <c r="F205" s="519" t="s">
        <v>112</v>
      </c>
      <c r="G205" s="6">
        <v>843</v>
      </c>
      <c r="H205" s="24">
        <v>10</v>
      </c>
      <c r="I205" s="225" t="s">
        <v>25</v>
      </c>
      <c r="J205" s="7" t="s">
        <v>186</v>
      </c>
      <c r="K205" s="211"/>
      <c r="L205" s="30">
        <v>6588.9</v>
      </c>
      <c r="M205" s="32">
        <v>0</v>
      </c>
      <c r="N205" s="32">
        <v>0</v>
      </c>
      <c r="O205" s="32">
        <v>0</v>
      </c>
      <c r="P205" s="32">
        <v>0</v>
      </c>
      <c r="Q205" s="30">
        <f t="shared" si="35"/>
        <v>0</v>
      </c>
      <c r="R205" s="56"/>
      <c r="AK205" s="233">
        <f t="shared" si="30"/>
        <v>0</v>
      </c>
    </row>
    <row r="206" spans="1:37" ht="24" hidden="1" customHeight="1">
      <c r="A206" s="527"/>
      <c r="B206" s="527"/>
      <c r="C206" s="527"/>
      <c r="D206" s="527"/>
      <c r="E206" s="520"/>
      <c r="F206" s="665"/>
      <c r="G206" s="6">
        <v>843</v>
      </c>
      <c r="H206" s="24">
        <v>10</v>
      </c>
      <c r="I206" s="225" t="s">
        <v>9</v>
      </c>
      <c r="J206" s="7" t="s">
        <v>455</v>
      </c>
      <c r="K206" s="211"/>
      <c r="L206" s="30">
        <v>24323.919999999998</v>
      </c>
      <c r="M206" s="32">
        <v>0</v>
      </c>
      <c r="N206" s="32">
        <v>0</v>
      </c>
      <c r="O206" s="32">
        <v>0</v>
      </c>
      <c r="P206" s="32">
        <v>0</v>
      </c>
      <c r="Q206" s="30">
        <f t="shared" si="35"/>
        <v>0</v>
      </c>
      <c r="AK206" s="233">
        <f t="shared" si="30"/>
        <v>0</v>
      </c>
    </row>
    <row r="207" spans="1:37" ht="30" hidden="1" customHeight="1">
      <c r="A207" s="527"/>
      <c r="B207" s="527"/>
      <c r="C207" s="527"/>
      <c r="D207" s="527"/>
      <c r="E207" s="520"/>
      <c r="F207" s="519" t="s">
        <v>172</v>
      </c>
      <c r="G207" s="6">
        <v>835</v>
      </c>
      <c r="H207" s="7" t="s">
        <v>69</v>
      </c>
      <c r="I207" s="8" t="s">
        <v>10</v>
      </c>
      <c r="J207" s="7" t="s">
        <v>186</v>
      </c>
      <c r="K207" s="211">
        <v>810</v>
      </c>
      <c r="L207" s="30">
        <v>1987.4</v>
      </c>
      <c r="M207" s="32">
        <v>0</v>
      </c>
      <c r="N207" s="32">
        <v>0</v>
      </c>
      <c r="O207" s="32">
        <v>0</v>
      </c>
      <c r="P207" s="32">
        <v>0</v>
      </c>
      <c r="Q207" s="30">
        <f t="shared" si="35"/>
        <v>0</v>
      </c>
      <c r="AK207" s="233">
        <f t="shared" si="30"/>
        <v>0</v>
      </c>
    </row>
    <row r="208" spans="1:37" ht="24" hidden="1" customHeight="1">
      <c r="A208" s="527"/>
      <c r="B208" s="527"/>
      <c r="C208" s="527"/>
      <c r="D208" s="527"/>
      <c r="E208" s="520"/>
      <c r="F208" s="665"/>
      <c r="G208" s="6">
        <v>835</v>
      </c>
      <c r="H208" s="7" t="s">
        <v>69</v>
      </c>
      <c r="I208" s="8" t="s">
        <v>10</v>
      </c>
      <c r="J208" s="7" t="s">
        <v>455</v>
      </c>
      <c r="K208" s="211">
        <v>810</v>
      </c>
      <c r="L208" s="30">
        <v>4637.3</v>
      </c>
      <c r="M208" s="32">
        <v>0</v>
      </c>
      <c r="N208" s="32">
        <v>0</v>
      </c>
      <c r="O208" s="32">
        <v>0</v>
      </c>
      <c r="P208" s="32">
        <v>0</v>
      </c>
      <c r="Q208" s="30">
        <f t="shared" si="35"/>
        <v>0</v>
      </c>
      <c r="AK208" s="233">
        <f t="shared" si="30"/>
        <v>0</v>
      </c>
    </row>
    <row r="209" spans="1:37" ht="15" hidden="1" customHeight="1">
      <c r="A209" s="527"/>
      <c r="B209" s="527"/>
      <c r="C209" s="527"/>
      <c r="D209" s="527"/>
      <c r="E209" s="520"/>
      <c r="F209" s="519" t="s">
        <v>187</v>
      </c>
      <c r="G209" s="6">
        <v>874</v>
      </c>
      <c r="H209" s="7" t="s">
        <v>6</v>
      </c>
      <c r="I209" s="8" t="s">
        <v>10</v>
      </c>
      <c r="J209" s="7" t="s">
        <v>186</v>
      </c>
      <c r="K209" s="211"/>
      <c r="L209" s="30">
        <v>1500</v>
      </c>
      <c r="M209" s="32">
        <v>0</v>
      </c>
      <c r="N209" s="32">
        <v>0</v>
      </c>
      <c r="O209" s="32">
        <v>0</v>
      </c>
      <c r="P209" s="32">
        <v>0</v>
      </c>
      <c r="Q209" s="30">
        <f t="shared" si="35"/>
        <v>0</v>
      </c>
      <c r="AK209" s="233">
        <f t="shared" si="30"/>
        <v>0</v>
      </c>
    </row>
    <row r="210" spans="1:37" ht="15" hidden="1" customHeight="1">
      <c r="A210" s="527"/>
      <c r="B210" s="527"/>
      <c r="C210" s="527"/>
      <c r="D210" s="527"/>
      <c r="E210" s="520"/>
      <c r="F210" s="665"/>
      <c r="G210" s="6">
        <v>874</v>
      </c>
      <c r="H210" s="7" t="s">
        <v>6</v>
      </c>
      <c r="I210" s="8" t="s">
        <v>10</v>
      </c>
      <c r="J210" s="7" t="s">
        <v>455</v>
      </c>
      <c r="K210" s="211"/>
      <c r="L210" s="32">
        <v>3500</v>
      </c>
      <c r="M210" s="32">
        <v>0</v>
      </c>
      <c r="N210" s="32">
        <v>0</v>
      </c>
      <c r="O210" s="32">
        <v>0</v>
      </c>
      <c r="P210" s="32">
        <v>0</v>
      </c>
      <c r="Q210" s="30">
        <f t="shared" si="35"/>
        <v>0</v>
      </c>
      <c r="AK210" s="233">
        <f t="shared" si="30"/>
        <v>0</v>
      </c>
    </row>
    <row r="211" spans="1:37" ht="22.5" hidden="1" customHeight="1">
      <c r="A211" s="527"/>
      <c r="B211" s="527"/>
      <c r="C211" s="527"/>
      <c r="D211" s="527"/>
      <c r="E211" s="520"/>
      <c r="F211" s="519" t="s">
        <v>456</v>
      </c>
      <c r="G211" s="24">
        <v>847</v>
      </c>
      <c r="H211" s="24">
        <v>11</v>
      </c>
      <c r="I211" s="225" t="s">
        <v>33</v>
      </c>
      <c r="J211" s="7" t="s">
        <v>186</v>
      </c>
      <c r="K211" s="211"/>
      <c r="L211" s="32">
        <v>1985.3</v>
      </c>
      <c r="M211" s="32">
        <v>0</v>
      </c>
      <c r="N211" s="32">
        <v>0</v>
      </c>
      <c r="O211" s="32">
        <v>0</v>
      </c>
      <c r="P211" s="32">
        <v>0</v>
      </c>
      <c r="Q211" s="30">
        <f t="shared" si="35"/>
        <v>0</v>
      </c>
      <c r="AK211" s="233">
        <f t="shared" si="30"/>
        <v>0</v>
      </c>
    </row>
    <row r="212" spans="1:37" ht="21" hidden="1" customHeight="1">
      <c r="A212" s="527"/>
      <c r="B212" s="527"/>
      <c r="C212" s="527"/>
      <c r="D212" s="527"/>
      <c r="E212" s="520"/>
      <c r="F212" s="665"/>
      <c r="G212" s="24">
        <v>847</v>
      </c>
      <c r="H212" s="24">
        <v>11</v>
      </c>
      <c r="I212" s="225" t="s">
        <v>25</v>
      </c>
      <c r="J212" s="7" t="s">
        <v>455</v>
      </c>
      <c r="K212" s="211"/>
      <c r="L212" s="32">
        <v>4636.8999999999996</v>
      </c>
      <c r="M212" s="32">
        <v>0</v>
      </c>
      <c r="N212" s="32">
        <v>0</v>
      </c>
      <c r="O212" s="32">
        <v>0</v>
      </c>
      <c r="P212" s="32">
        <v>0</v>
      </c>
      <c r="Q212" s="30">
        <f t="shared" si="35"/>
        <v>0</v>
      </c>
      <c r="AK212" s="233">
        <f t="shared" si="30"/>
        <v>0</v>
      </c>
    </row>
    <row r="213" spans="1:37" ht="15" hidden="1" customHeight="1">
      <c r="A213" s="527"/>
      <c r="B213" s="527"/>
      <c r="C213" s="527"/>
      <c r="D213" s="527"/>
      <c r="E213" s="520"/>
      <c r="F213" s="519" t="s">
        <v>457</v>
      </c>
      <c r="G213" s="24">
        <v>855</v>
      </c>
      <c r="H213" s="225" t="s">
        <v>35</v>
      </c>
      <c r="I213" s="225" t="s">
        <v>35</v>
      </c>
      <c r="J213" s="7" t="s">
        <v>186</v>
      </c>
      <c r="K213" s="211"/>
      <c r="L213" s="32">
        <v>960.1</v>
      </c>
      <c r="M213" s="32">
        <v>0</v>
      </c>
      <c r="N213" s="32">
        <v>0</v>
      </c>
      <c r="O213" s="32">
        <v>0</v>
      </c>
      <c r="P213" s="32">
        <v>0</v>
      </c>
      <c r="Q213" s="30">
        <f t="shared" si="35"/>
        <v>0</v>
      </c>
      <c r="AK213" s="233">
        <f t="shared" si="30"/>
        <v>0</v>
      </c>
    </row>
    <row r="214" spans="1:37" ht="15" hidden="1" customHeight="1">
      <c r="A214" s="527"/>
      <c r="B214" s="527"/>
      <c r="C214" s="527"/>
      <c r="D214" s="527"/>
      <c r="E214" s="520"/>
      <c r="F214" s="665"/>
      <c r="G214" s="24">
        <v>855</v>
      </c>
      <c r="H214" s="225" t="s">
        <v>35</v>
      </c>
      <c r="I214" s="225" t="s">
        <v>35</v>
      </c>
      <c r="J214" s="7" t="s">
        <v>455</v>
      </c>
      <c r="K214" s="211"/>
      <c r="L214" s="32">
        <v>4637.3</v>
      </c>
      <c r="M214" s="32">
        <v>0</v>
      </c>
      <c r="N214" s="32">
        <v>0</v>
      </c>
      <c r="O214" s="32">
        <v>0</v>
      </c>
      <c r="P214" s="32">
        <v>0</v>
      </c>
      <c r="Q214" s="30">
        <f t="shared" si="35"/>
        <v>0</v>
      </c>
      <c r="AK214" s="233">
        <f t="shared" si="30"/>
        <v>0</v>
      </c>
    </row>
    <row r="215" spans="1:37" ht="15" hidden="1" customHeight="1">
      <c r="A215" s="527"/>
      <c r="B215" s="527"/>
      <c r="C215" s="527"/>
      <c r="D215" s="527"/>
      <c r="E215" s="520"/>
      <c r="F215" s="519" t="s">
        <v>458</v>
      </c>
      <c r="G215" s="24">
        <v>857</v>
      </c>
      <c r="H215" s="225" t="s">
        <v>34</v>
      </c>
      <c r="I215" s="225" t="s">
        <v>10</v>
      </c>
      <c r="J215" s="7" t="s">
        <v>186</v>
      </c>
      <c r="K215" s="211"/>
      <c r="L215" s="32">
        <v>1900.6</v>
      </c>
      <c r="M215" s="32">
        <v>0</v>
      </c>
      <c r="N215" s="32">
        <v>0</v>
      </c>
      <c r="O215" s="32">
        <v>0</v>
      </c>
      <c r="P215" s="32">
        <v>0</v>
      </c>
      <c r="Q215" s="30">
        <f t="shared" si="35"/>
        <v>0</v>
      </c>
      <c r="AK215" s="233">
        <f t="shared" si="30"/>
        <v>0</v>
      </c>
    </row>
    <row r="216" spans="1:37" ht="15" hidden="1" customHeight="1">
      <c r="A216" s="502"/>
      <c r="B216" s="502"/>
      <c r="C216" s="502"/>
      <c r="D216" s="502"/>
      <c r="E216" s="665"/>
      <c r="F216" s="665"/>
      <c r="G216" s="24">
        <v>857</v>
      </c>
      <c r="H216" s="225" t="s">
        <v>34</v>
      </c>
      <c r="I216" s="225" t="s">
        <v>10</v>
      </c>
      <c r="J216" s="7" t="s">
        <v>455</v>
      </c>
      <c r="K216" s="211"/>
      <c r="L216" s="32">
        <v>4637.3</v>
      </c>
      <c r="M216" s="32">
        <v>0</v>
      </c>
      <c r="N216" s="32">
        <v>0</v>
      </c>
      <c r="O216" s="32">
        <v>0</v>
      </c>
      <c r="P216" s="32">
        <v>0</v>
      </c>
      <c r="Q216" s="30">
        <f t="shared" si="35"/>
        <v>0</v>
      </c>
      <c r="AK216" s="233">
        <f t="shared" si="30"/>
        <v>0</v>
      </c>
    </row>
    <row r="217" spans="1:37" ht="38.25" hidden="1" customHeight="1">
      <c r="A217" s="225"/>
      <c r="B217" s="8"/>
      <c r="C217" s="8"/>
      <c r="D217" s="8"/>
      <c r="E217" s="1" t="s">
        <v>92</v>
      </c>
      <c r="F217" s="1" t="s">
        <v>112</v>
      </c>
      <c r="G217" s="6">
        <v>843</v>
      </c>
      <c r="H217" s="8" t="s">
        <v>51</v>
      </c>
      <c r="I217" s="8" t="s">
        <v>25</v>
      </c>
      <c r="J217" s="7" t="s">
        <v>155</v>
      </c>
      <c r="K217" s="211"/>
      <c r="L217" s="32">
        <v>9153.2999999999993</v>
      </c>
      <c r="M217" s="32">
        <v>0</v>
      </c>
      <c r="N217" s="32">
        <v>0</v>
      </c>
      <c r="O217" s="32">
        <v>0</v>
      </c>
      <c r="P217" s="32">
        <v>0</v>
      </c>
      <c r="Q217" s="30">
        <f t="shared" si="35"/>
        <v>0</v>
      </c>
      <c r="AK217" s="233">
        <f t="shared" si="30"/>
        <v>0</v>
      </c>
    </row>
    <row r="218" spans="1:37" ht="38.25" hidden="1" customHeight="1">
      <c r="A218" s="225"/>
      <c r="B218" s="8"/>
      <c r="C218" s="8"/>
      <c r="D218" s="8"/>
      <c r="E218" s="2" t="s">
        <v>93</v>
      </c>
      <c r="F218" s="1" t="s">
        <v>112</v>
      </c>
      <c r="G218" s="6">
        <v>843</v>
      </c>
      <c r="H218" s="8" t="s">
        <v>51</v>
      </c>
      <c r="I218" s="8" t="s">
        <v>25</v>
      </c>
      <c r="J218" s="7" t="s">
        <v>155</v>
      </c>
      <c r="K218" s="211">
        <v>612</v>
      </c>
      <c r="L218" s="32">
        <f>6443.1+109.5</f>
        <v>6552.6</v>
      </c>
      <c r="M218" s="32">
        <v>0</v>
      </c>
      <c r="N218" s="32">
        <v>0</v>
      </c>
      <c r="O218" s="32">
        <v>0</v>
      </c>
      <c r="P218" s="32">
        <v>0</v>
      </c>
      <c r="Q218" s="30">
        <f t="shared" si="35"/>
        <v>0</v>
      </c>
      <c r="AK218" s="233">
        <f t="shared" si="30"/>
        <v>0</v>
      </c>
    </row>
    <row r="219" spans="1:37" ht="38.25" hidden="1" customHeight="1">
      <c r="A219" s="7"/>
      <c r="B219" s="8"/>
      <c r="C219" s="8"/>
      <c r="D219" s="8"/>
      <c r="E219" s="2" t="s">
        <v>94</v>
      </c>
      <c r="F219" s="1" t="s">
        <v>112</v>
      </c>
      <c r="G219" s="6">
        <v>843</v>
      </c>
      <c r="H219" s="8" t="s">
        <v>51</v>
      </c>
      <c r="I219" s="8" t="s">
        <v>25</v>
      </c>
      <c r="J219" s="7" t="s">
        <v>155</v>
      </c>
      <c r="K219" s="211" t="s">
        <v>156</v>
      </c>
      <c r="L219" s="32">
        <f>L217-L218</f>
        <v>2600.6999999999989</v>
      </c>
      <c r="M219" s="32">
        <v>0</v>
      </c>
      <c r="N219" s="32">
        <v>0</v>
      </c>
      <c r="O219" s="32">
        <v>0</v>
      </c>
      <c r="P219" s="32">
        <v>0</v>
      </c>
      <c r="Q219" s="30">
        <f t="shared" si="35"/>
        <v>0</v>
      </c>
      <c r="AK219" s="233">
        <f t="shared" si="30"/>
        <v>0</v>
      </c>
    </row>
    <row r="220" spans="1:37" ht="48" hidden="1" customHeight="1">
      <c r="A220" s="501"/>
      <c r="B220" s="501"/>
      <c r="C220" s="501"/>
      <c r="D220" s="511"/>
      <c r="E220" s="505" t="s">
        <v>190</v>
      </c>
      <c r="F220" s="519" t="s">
        <v>112</v>
      </c>
      <c r="G220" s="6">
        <v>843</v>
      </c>
      <c r="H220" s="211">
        <v>10</v>
      </c>
      <c r="I220" s="7" t="s">
        <v>25</v>
      </c>
      <c r="J220" s="7" t="s">
        <v>157</v>
      </c>
      <c r="K220" s="211">
        <v>321.61200000000002</v>
      </c>
      <c r="L220" s="33">
        <v>3450.5</v>
      </c>
      <c r="M220" s="32">
        <v>0</v>
      </c>
      <c r="N220" s="32">
        <v>0</v>
      </c>
      <c r="O220" s="32">
        <v>0</v>
      </c>
      <c r="P220" s="32">
        <v>0</v>
      </c>
      <c r="Q220" s="30">
        <f t="shared" si="35"/>
        <v>0</v>
      </c>
      <c r="AK220" s="233">
        <f t="shared" si="30"/>
        <v>0</v>
      </c>
    </row>
    <row r="221" spans="1:37" ht="54" hidden="1" customHeight="1">
      <c r="A221" s="502"/>
      <c r="B221" s="502"/>
      <c r="C221" s="502"/>
      <c r="D221" s="524"/>
      <c r="E221" s="506"/>
      <c r="F221" s="665"/>
      <c r="G221" s="6">
        <v>843</v>
      </c>
      <c r="H221" s="211">
        <v>10</v>
      </c>
      <c r="I221" s="7" t="s">
        <v>6</v>
      </c>
      <c r="J221" s="7" t="s">
        <v>462</v>
      </c>
      <c r="K221" s="211"/>
      <c r="L221" s="33">
        <v>3450.5</v>
      </c>
      <c r="M221" s="32"/>
      <c r="N221" s="32"/>
      <c r="O221" s="32"/>
      <c r="P221" s="32"/>
      <c r="Q221" s="30">
        <f t="shared" si="35"/>
        <v>0</v>
      </c>
      <c r="AK221" s="233">
        <f t="shared" ref="AK221:AK234" si="36">AG221+AH221+AI221+AJ221</f>
        <v>0</v>
      </c>
    </row>
    <row r="222" spans="1:37" ht="38.25" hidden="1" customHeight="1">
      <c r="A222" s="220"/>
      <c r="B222" s="225"/>
      <c r="C222" s="220"/>
      <c r="D222" s="217"/>
      <c r="E222" s="226" t="s">
        <v>461</v>
      </c>
      <c r="F222" s="1" t="s">
        <v>112</v>
      </c>
      <c r="G222" s="6">
        <v>843</v>
      </c>
      <c r="H222" s="211">
        <v>10</v>
      </c>
      <c r="I222" s="7" t="s">
        <v>25</v>
      </c>
      <c r="J222" s="7" t="s">
        <v>460</v>
      </c>
      <c r="K222" s="211"/>
      <c r="L222" s="33">
        <v>3772.9</v>
      </c>
      <c r="M222" s="32"/>
      <c r="N222" s="32"/>
      <c r="O222" s="32"/>
      <c r="P222" s="32"/>
      <c r="Q222" s="30">
        <f t="shared" si="35"/>
        <v>0</v>
      </c>
      <c r="AK222" s="233">
        <f t="shared" si="36"/>
        <v>0</v>
      </c>
    </row>
    <row r="223" spans="1:37" ht="15" customHeight="1">
      <c r="A223" s="501" t="s">
        <v>110</v>
      </c>
      <c r="B223" s="523" t="s">
        <v>10</v>
      </c>
      <c r="C223" s="501"/>
      <c r="D223" s="511"/>
      <c r="E223" s="680" t="s">
        <v>63</v>
      </c>
      <c r="F223" s="1" t="s">
        <v>48</v>
      </c>
      <c r="G223" s="6"/>
      <c r="H223" s="6"/>
      <c r="I223" s="8"/>
      <c r="J223" s="8"/>
      <c r="K223" s="6"/>
      <c r="L223" s="30">
        <f t="shared" ref="L223:Q223" si="37">L224</f>
        <v>329578</v>
      </c>
      <c r="M223" s="30">
        <f t="shared" si="37"/>
        <v>359586.5</v>
      </c>
      <c r="N223" s="30">
        <f t="shared" si="37"/>
        <v>344198.49999999994</v>
      </c>
      <c r="O223" s="30">
        <f t="shared" si="37"/>
        <v>361408.42499999993</v>
      </c>
      <c r="P223" s="30">
        <f t="shared" si="37"/>
        <v>379478.84624999994</v>
      </c>
      <c r="Q223" s="30">
        <f t="shared" si="37"/>
        <v>398452.78856249998</v>
      </c>
      <c r="R223" s="26">
        <v>297804.90000000002</v>
      </c>
      <c r="S223" s="56">
        <f>R223-L223</f>
        <v>-31773.099999999977</v>
      </c>
      <c r="AK223" s="233">
        <f t="shared" si="36"/>
        <v>0</v>
      </c>
    </row>
    <row r="224" spans="1:37" ht="38.25">
      <c r="A224" s="502"/>
      <c r="B224" s="523"/>
      <c r="C224" s="502"/>
      <c r="D224" s="524"/>
      <c r="E224" s="680"/>
      <c r="F224" s="1" t="s">
        <v>112</v>
      </c>
      <c r="G224" s="6">
        <v>843</v>
      </c>
      <c r="H224" s="6"/>
      <c r="I224" s="8"/>
      <c r="J224" s="8"/>
      <c r="K224" s="6"/>
      <c r="L224" s="30">
        <f t="shared" ref="L224:Q224" si="38">L225+L227+L229+L231+L234</f>
        <v>329578</v>
      </c>
      <c r="M224" s="30">
        <f t="shared" si="38"/>
        <v>359586.5</v>
      </c>
      <c r="N224" s="30">
        <f t="shared" si="38"/>
        <v>344198.49999999994</v>
      </c>
      <c r="O224" s="30">
        <f t="shared" si="38"/>
        <v>361408.42499999993</v>
      </c>
      <c r="P224" s="30">
        <f t="shared" si="38"/>
        <v>379478.84624999994</v>
      </c>
      <c r="Q224" s="30">
        <f t="shared" si="38"/>
        <v>398452.78856249998</v>
      </c>
      <c r="AF224" s="238"/>
      <c r="AG224" s="238">
        <f>AG225+AG227+AG229+AG231+AG234</f>
        <v>329658.7</v>
      </c>
      <c r="AH224" s="238">
        <f>AH225+AH227+AH229+AH231+AH234</f>
        <v>0</v>
      </c>
      <c r="AI224" s="238">
        <f>AI225+AI227+AI229+AI231+AI234</f>
        <v>-3341.5000000000005</v>
      </c>
      <c r="AJ224" s="238">
        <f>AJ225+AJ227+AJ229+AJ231+AJ234</f>
        <v>33269.300000000003</v>
      </c>
      <c r="AK224" s="240">
        <f>AK225+AK227+AK229+AK231+AK234</f>
        <v>359586.5</v>
      </c>
    </row>
    <row r="225" spans="1:37" ht="38.25">
      <c r="A225" s="221" t="s">
        <v>110</v>
      </c>
      <c r="B225" s="225" t="s">
        <v>10</v>
      </c>
      <c r="C225" s="221" t="s">
        <v>7</v>
      </c>
      <c r="D225" s="218"/>
      <c r="E225" s="226" t="s">
        <v>454</v>
      </c>
      <c r="F225" s="1" t="s">
        <v>112</v>
      </c>
      <c r="G225" s="6">
        <v>843</v>
      </c>
      <c r="H225" s="6">
        <v>10</v>
      </c>
      <c r="I225" s="8" t="s">
        <v>9</v>
      </c>
      <c r="J225" s="8" t="s">
        <v>350</v>
      </c>
      <c r="K225" s="6">
        <v>880</v>
      </c>
      <c r="L225" s="30">
        <f>L226+L236</f>
        <v>12177.8</v>
      </c>
      <c r="M225" s="30">
        <f>M226</f>
        <v>16176.800000000001</v>
      </c>
      <c r="N225" s="30">
        <f>N226</f>
        <v>13410.4</v>
      </c>
      <c r="O225" s="30">
        <f>O226</f>
        <v>14080.92</v>
      </c>
      <c r="P225" s="30">
        <f>P226</f>
        <v>14784.966</v>
      </c>
      <c r="Q225" s="30">
        <f t="shared" si="35"/>
        <v>15524.214300000001</v>
      </c>
      <c r="AG225" s="233">
        <v>13423.7</v>
      </c>
      <c r="AI225" s="233">
        <v>2753.1</v>
      </c>
      <c r="AK225" s="233">
        <f t="shared" si="36"/>
        <v>16176.800000000001</v>
      </c>
    </row>
    <row r="226" spans="1:37" s="195" customFormat="1" ht="38.25" hidden="1" customHeight="1">
      <c r="A226" s="188" t="s">
        <v>110</v>
      </c>
      <c r="B226" s="189" t="s">
        <v>10</v>
      </c>
      <c r="C226" s="188" t="s">
        <v>7</v>
      </c>
      <c r="D226" s="190" t="s">
        <v>7</v>
      </c>
      <c r="E226" s="191" t="s">
        <v>349</v>
      </c>
      <c r="F226" s="192" t="s">
        <v>112</v>
      </c>
      <c r="G226" s="193">
        <v>843</v>
      </c>
      <c r="H226" s="193">
        <v>10</v>
      </c>
      <c r="I226" s="190" t="s">
        <v>9</v>
      </c>
      <c r="J226" s="190" t="s">
        <v>351</v>
      </c>
      <c r="K226" s="193">
        <v>880</v>
      </c>
      <c r="L226" s="194"/>
      <c r="M226" s="194">
        <f>13423.7+2753.1</f>
        <v>16176.800000000001</v>
      </c>
      <c r="N226" s="194">
        <v>13410.4</v>
      </c>
      <c r="O226" s="194">
        <f>N226*1.05</f>
        <v>14080.92</v>
      </c>
      <c r="P226" s="194">
        <f>O226*1.05</f>
        <v>14784.966</v>
      </c>
      <c r="Q226" s="194">
        <f t="shared" si="35"/>
        <v>15524.214300000001</v>
      </c>
      <c r="AF226" s="234"/>
      <c r="AG226" s="234"/>
      <c r="AH226" s="234"/>
      <c r="AI226" s="234"/>
      <c r="AJ226" s="234"/>
      <c r="AK226" s="233">
        <f t="shared" si="36"/>
        <v>0</v>
      </c>
    </row>
    <row r="227" spans="1:37" ht="38.25">
      <c r="A227" s="221" t="s">
        <v>110</v>
      </c>
      <c r="B227" s="225" t="s">
        <v>10</v>
      </c>
      <c r="C227" s="221" t="s">
        <v>8</v>
      </c>
      <c r="D227" s="8"/>
      <c r="E227" s="226" t="s">
        <v>352</v>
      </c>
      <c r="F227" s="1" t="s">
        <v>112</v>
      </c>
      <c r="G227" s="6">
        <v>843</v>
      </c>
      <c r="H227" s="6">
        <v>10</v>
      </c>
      <c r="I227" s="8" t="s">
        <v>25</v>
      </c>
      <c r="J227" s="8" t="s">
        <v>356</v>
      </c>
      <c r="K227" s="211" t="s">
        <v>482</v>
      </c>
      <c r="L227" s="30">
        <f>L228+L237</f>
        <v>66910.3</v>
      </c>
      <c r="M227" s="30">
        <f>M228</f>
        <v>67397.7</v>
      </c>
      <c r="N227" s="30">
        <f>N228</f>
        <v>70466.2</v>
      </c>
      <c r="O227" s="30">
        <f>O228</f>
        <v>73989.509999999995</v>
      </c>
      <c r="P227" s="30">
        <f>P228</f>
        <v>77688.985499999995</v>
      </c>
      <c r="Q227" s="30">
        <f>Q228</f>
        <v>81573.434775000002</v>
      </c>
      <c r="AG227" s="233">
        <v>60374</v>
      </c>
      <c r="AJ227" s="233">
        <v>7023.7</v>
      </c>
      <c r="AK227" s="233">
        <f t="shared" si="36"/>
        <v>67397.7</v>
      </c>
    </row>
    <row r="228" spans="1:37" s="195" customFormat="1" ht="38.25" hidden="1" customHeight="1">
      <c r="A228" s="188" t="s">
        <v>110</v>
      </c>
      <c r="B228" s="189" t="s">
        <v>10</v>
      </c>
      <c r="C228" s="188" t="s">
        <v>8</v>
      </c>
      <c r="D228" s="190" t="s">
        <v>7</v>
      </c>
      <c r="E228" s="191" t="s">
        <v>353</v>
      </c>
      <c r="F228" s="192" t="s">
        <v>112</v>
      </c>
      <c r="G228" s="193">
        <v>843</v>
      </c>
      <c r="H228" s="193">
        <v>10</v>
      </c>
      <c r="I228" s="190" t="s">
        <v>25</v>
      </c>
      <c r="J228" s="190" t="s">
        <v>357</v>
      </c>
      <c r="K228" s="196" t="s">
        <v>395</v>
      </c>
      <c r="L228" s="194"/>
      <c r="M228" s="194">
        <f>60374+7023.7</f>
        <v>67397.7</v>
      </c>
      <c r="N228" s="194">
        <f>49112.7+14831.6+68.1+304+135.7+991.2+151.8+22+2084.4+370.7+1559.8+118.5+689.6+26.1</f>
        <v>70466.2</v>
      </c>
      <c r="O228" s="194">
        <f>N228*1.05</f>
        <v>73989.509999999995</v>
      </c>
      <c r="P228" s="194">
        <f>O228*1.05</f>
        <v>77688.985499999995</v>
      </c>
      <c r="Q228" s="194">
        <f t="shared" si="35"/>
        <v>81573.434775000002</v>
      </c>
      <c r="AF228" s="234"/>
      <c r="AG228" s="234"/>
      <c r="AH228" s="234"/>
      <c r="AI228" s="234"/>
      <c r="AJ228" s="234"/>
      <c r="AK228" s="233">
        <f t="shared" si="36"/>
        <v>0</v>
      </c>
    </row>
    <row r="229" spans="1:37" ht="38.25">
      <c r="A229" s="221" t="s">
        <v>110</v>
      </c>
      <c r="B229" s="225" t="s">
        <v>10</v>
      </c>
      <c r="C229" s="221" t="s">
        <v>9</v>
      </c>
      <c r="D229" s="218"/>
      <c r="E229" s="226" t="s">
        <v>354</v>
      </c>
      <c r="F229" s="1" t="s">
        <v>112</v>
      </c>
      <c r="G229" s="6">
        <v>843</v>
      </c>
      <c r="H229" s="6">
        <v>10</v>
      </c>
      <c r="I229" s="8" t="s">
        <v>25</v>
      </c>
      <c r="J229" s="8" t="s">
        <v>358</v>
      </c>
      <c r="K229" s="211" t="s">
        <v>482</v>
      </c>
      <c r="L229" s="30">
        <f>L230+L238</f>
        <v>217510.6</v>
      </c>
      <c r="M229" s="30">
        <f>M230</f>
        <v>230238.5</v>
      </c>
      <c r="N229" s="30">
        <f>N230</f>
        <v>226077.09999999995</v>
      </c>
      <c r="O229" s="30">
        <f>O230</f>
        <v>237380.95499999996</v>
      </c>
      <c r="P229" s="30">
        <f>P230</f>
        <v>249250.00274999996</v>
      </c>
      <c r="Q229" s="30">
        <f>Q230</f>
        <v>261712.50288749996</v>
      </c>
      <c r="AG229" s="233">
        <v>205254.3</v>
      </c>
      <c r="AJ229" s="233">
        <v>24984.2</v>
      </c>
      <c r="AK229" s="233">
        <f t="shared" si="36"/>
        <v>230238.5</v>
      </c>
    </row>
    <row r="230" spans="1:37" s="195" customFormat="1" ht="38.25" hidden="1" customHeight="1">
      <c r="A230" s="188" t="s">
        <v>110</v>
      </c>
      <c r="B230" s="189" t="s">
        <v>10</v>
      </c>
      <c r="C230" s="188" t="s">
        <v>9</v>
      </c>
      <c r="D230" s="190" t="s">
        <v>7</v>
      </c>
      <c r="E230" s="191" t="s">
        <v>355</v>
      </c>
      <c r="F230" s="192" t="s">
        <v>112</v>
      </c>
      <c r="G230" s="193">
        <v>843</v>
      </c>
      <c r="H230" s="193">
        <v>10</v>
      </c>
      <c r="I230" s="190" t="s">
        <v>25</v>
      </c>
      <c r="J230" s="190" t="s">
        <v>359</v>
      </c>
      <c r="K230" s="196" t="s">
        <v>395</v>
      </c>
      <c r="L230" s="194"/>
      <c r="M230" s="194">
        <f>205254.3+24984.2</f>
        <v>230238.5</v>
      </c>
      <c r="N230" s="194">
        <f>160834+48573.9+79.9+2219.9+711.3+719.3+379.6+243.5+903.1+5005.6+688.4+1582+1476.8+2509.9+149.9</f>
        <v>226077.09999999995</v>
      </c>
      <c r="O230" s="194">
        <f>N230*1.05</f>
        <v>237380.95499999996</v>
      </c>
      <c r="P230" s="194">
        <f>O230*1.05</f>
        <v>249250.00274999996</v>
      </c>
      <c r="Q230" s="194">
        <f t="shared" si="35"/>
        <v>261712.50288749996</v>
      </c>
      <c r="AF230" s="234"/>
      <c r="AG230" s="234"/>
      <c r="AH230" s="234"/>
      <c r="AI230" s="234"/>
      <c r="AJ230" s="234"/>
      <c r="AK230" s="233">
        <f t="shared" si="36"/>
        <v>0</v>
      </c>
    </row>
    <row r="231" spans="1:37" ht="38.25">
      <c r="A231" s="221" t="s">
        <v>110</v>
      </c>
      <c r="B231" s="225" t="s">
        <v>10</v>
      </c>
      <c r="C231" s="221" t="s">
        <v>10</v>
      </c>
      <c r="D231" s="8"/>
      <c r="E231" s="226" t="s">
        <v>65</v>
      </c>
      <c r="F231" s="1" t="s">
        <v>112</v>
      </c>
      <c r="G231" s="6">
        <v>843</v>
      </c>
      <c r="H231" s="6">
        <v>10</v>
      </c>
      <c r="I231" s="8" t="s">
        <v>25</v>
      </c>
      <c r="J231" s="8" t="s">
        <v>360</v>
      </c>
      <c r="K231" s="211" t="s">
        <v>483</v>
      </c>
      <c r="L231" s="30">
        <f t="shared" ref="L231:Q231" si="39">L232+L233+L239+L113+L184</f>
        <v>32979.299999999996</v>
      </c>
      <c r="M231" s="30">
        <f t="shared" si="39"/>
        <v>32571.299999999996</v>
      </c>
      <c r="N231" s="30">
        <f t="shared" si="39"/>
        <v>34244.800000000003</v>
      </c>
      <c r="O231" s="30">
        <f t="shared" si="39"/>
        <v>35957.040000000001</v>
      </c>
      <c r="P231" s="30">
        <f t="shared" si="39"/>
        <v>37754.892000000007</v>
      </c>
      <c r="Q231" s="30">
        <f t="shared" si="39"/>
        <v>39642.636600000013</v>
      </c>
      <c r="AG231" s="233">
        <v>38665.9</v>
      </c>
      <c r="AI231" s="233">
        <v>-6094.6</v>
      </c>
      <c r="AK231" s="233">
        <f t="shared" si="36"/>
        <v>32571.300000000003</v>
      </c>
    </row>
    <row r="232" spans="1:37" s="195" customFormat="1" ht="38.25" hidden="1" customHeight="1">
      <c r="A232" s="188" t="s">
        <v>110</v>
      </c>
      <c r="B232" s="189" t="s">
        <v>10</v>
      </c>
      <c r="C232" s="188" t="s">
        <v>10</v>
      </c>
      <c r="D232" s="190" t="s">
        <v>7</v>
      </c>
      <c r="E232" s="191" t="s">
        <v>322</v>
      </c>
      <c r="F232" s="192" t="s">
        <v>112</v>
      </c>
      <c r="G232" s="193">
        <v>843</v>
      </c>
      <c r="H232" s="193">
        <v>10</v>
      </c>
      <c r="I232" s="190" t="s">
        <v>25</v>
      </c>
      <c r="J232" s="190" t="s">
        <v>361</v>
      </c>
      <c r="K232" s="196" t="s">
        <v>396</v>
      </c>
      <c r="L232" s="194"/>
      <c r="M232" s="194">
        <v>13033.1</v>
      </c>
      <c r="N232" s="194">
        <v>0</v>
      </c>
      <c r="O232" s="194"/>
      <c r="P232" s="194">
        <f>O232*1.05</f>
        <v>0</v>
      </c>
      <c r="Q232" s="194">
        <f t="shared" si="35"/>
        <v>0</v>
      </c>
      <c r="AF232" s="234"/>
      <c r="AG232" s="234"/>
      <c r="AH232" s="234"/>
      <c r="AI232" s="234"/>
      <c r="AJ232" s="234"/>
      <c r="AK232" s="233">
        <f t="shared" si="36"/>
        <v>0</v>
      </c>
    </row>
    <row r="233" spans="1:37" s="195" customFormat="1" ht="38.25" hidden="1" customHeight="1">
      <c r="A233" s="188" t="s">
        <v>110</v>
      </c>
      <c r="B233" s="189" t="s">
        <v>10</v>
      </c>
      <c r="C233" s="188" t="s">
        <v>10</v>
      </c>
      <c r="D233" s="190" t="s">
        <v>8</v>
      </c>
      <c r="E233" s="191" t="s">
        <v>294</v>
      </c>
      <c r="F233" s="192" t="s">
        <v>112</v>
      </c>
      <c r="G233" s="193">
        <v>843</v>
      </c>
      <c r="H233" s="193">
        <v>10</v>
      </c>
      <c r="I233" s="190" t="s">
        <v>25</v>
      </c>
      <c r="J233" s="190" t="s">
        <v>362</v>
      </c>
      <c r="K233" s="196" t="s">
        <v>396</v>
      </c>
      <c r="L233" s="194"/>
      <c r="M233" s="194">
        <f>25632.8-6094.6</f>
        <v>19538.199999999997</v>
      </c>
      <c r="N233" s="194">
        <v>0</v>
      </c>
      <c r="O233" s="194">
        <f>N233*1.05</f>
        <v>0</v>
      </c>
      <c r="P233" s="194">
        <f>O233*1.05</f>
        <v>0</v>
      </c>
      <c r="Q233" s="194">
        <f t="shared" si="35"/>
        <v>0</v>
      </c>
      <c r="AF233" s="234"/>
      <c r="AG233" s="234"/>
      <c r="AH233" s="234"/>
      <c r="AI233" s="234"/>
      <c r="AJ233" s="234"/>
      <c r="AK233" s="233">
        <f t="shared" si="36"/>
        <v>0</v>
      </c>
    </row>
    <row r="234" spans="1:37" ht="51">
      <c r="A234" s="221" t="s">
        <v>110</v>
      </c>
      <c r="B234" s="225" t="s">
        <v>10</v>
      </c>
      <c r="C234" s="221" t="s">
        <v>33</v>
      </c>
      <c r="D234" s="8"/>
      <c r="E234" s="226" t="s">
        <v>363</v>
      </c>
      <c r="F234" s="1" t="s">
        <v>112</v>
      </c>
      <c r="G234" s="6">
        <v>843</v>
      </c>
      <c r="H234" s="8" t="s">
        <v>7</v>
      </c>
      <c r="I234" s="8" t="s">
        <v>10</v>
      </c>
      <c r="J234" s="8" t="s">
        <v>368</v>
      </c>
      <c r="K234" s="6">
        <v>530</v>
      </c>
      <c r="L234" s="30">
        <f t="shared" ref="L234:Q234" si="40">L235</f>
        <v>0</v>
      </c>
      <c r="M234" s="30">
        <f t="shared" si="40"/>
        <v>13202.199999999999</v>
      </c>
      <c r="N234" s="30">
        <f t="shared" si="40"/>
        <v>0</v>
      </c>
      <c r="O234" s="30">
        <f t="shared" si="40"/>
        <v>0</v>
      </c>
      <c r="P234" s="30">
        <f t="shared" si="40"/>
        <v>0</v>
      </c>
      <c r="Q234" s="30">
        <f t="shared" si="40"/>
        <v>0</v>
      </c>
      <c r="AG234" s="233">
        <v>11940.8</v>
      </c>
      <c r="AJ234" s="233">
        <v>1261.4000000000001</v>
      </c>
      <c r="AK234" s="233">
        <f t="shared" si="36"/>
        <v>13202.199999999999</v>
      </c>
    </row>
    <row r="235" spans="1:37" s="195" customFormat="1" ht="38.25" hidden="1" customHeight="1">
      <c r="A235" s="188" t="s">
        <v>110</v>
      </c>
      <c r="B235" s="189" t="s">
        <v>10</v>
      </c>
      <c r="C235" s="188" t="s">
        <v>33</v>
      </c>
      <c r="D235" s="190" t="s">
        <v>7</v>
      </c>
      <c r="E235" s="191" t="s">
        <v>364</v>
      </c>
      <c r="F235" s="192" t="s">
        <v>112</v>
      </c>
      <c r="G235" s="193">
        <v>843</v>
      </c>
      <c r="H235" s="190" t="s">
        <v>7</v>
      </c>
      <c r="I235" s="190" t="s">
        <v>10</v>
      </c>
      <c r="J235" s="190" t="s">
        <v>369</v>
      </c>
      <c r="K235" s="193">
        <v>530</v>
      </c>
      <c r="L235" s="194"/>
      <c r="M235" s="194">
        <f>11940.8+1261.4</f>
        <v>13202.199999999999</v>
      </c>
      <c r="N235" s="194">
        <v>0</v>
      </c>
      <c r="O235" s="194">
        <f t="shared" ref="O235:P239" si="41">N235*1.05</f>
        <v>0</v>
      </c>
      <c r="P235" s="194">
        <f t="shared" si="41"/>
        <v>0</v>
      </c>
      <c r="Q235" s="194">
        <f t="shared" si="35"/>
        <v>0</v>
      </c>
      <c r="AF235" s="234"/>
      <c r="AG235" s="234"/>
      <c r="AH235" s="234"/>
      <c r="AI235" s="234"/>
      <c r="AJ235" s="234"/>
      <c r="AK235" s="234"/>
    </row>
    <row r="236" spans="1:37" s="195" customFormat="1" ht="38.25" hidden="1" customHeight="1">
      <c r="A236" s="189"/>
      <c r="B236" s="189"/>
      <c r="C236" s="189"/>
      <c r="D236" s="190"/>
      <c r="E236" s="191" t="s">
        <v>36</v>
      </c>
      <c r="F236" s="192" t="s">
        <v>112</v>
      </c>
      <c r="G236" s="193">
        <v>843</v>
      </c>
      <c r="H236" s="196">
        <v>10</v>
      </c>
      <c r="I236" s="197" t="s">
        <v>9</v>
      </c>
      <c r="J236" s="197" t="s">
        <v>138</v>
      </c>
      <c r="K236" s="196" t="s">
        <v>64</v>
      </c>
      <c r="L236" s="198">
        <v>12177.8</v>
      </c>
      <c r="M236" s="199">
        <v>0</v>
      </c>
      <c r="N236" s="194">
        <v>0</v>
      </c>
      <c r="O236" s="194">
        <f t="shared" si="41"/>
        <v>0</v>
      </c>
      <c r="P236" s="194">
        <f t="shared" si="41"/>
        <v>0</v>
      </c>
      <c r="Q236" s="194">
        <f t="shared" si="35"/>
        <v>0</v>
      </c>
      <c r="AF236" s="234"/>
      <c r="AG236" s="234"/>
      <c r="AH236" s="234"/>
      <c r="AI236" s="234"/>
      <c r="AJ236" s="234"/>
      <c r="AK236" s="234"/>
    </row>
    <row r="237" spans="1:37" s="195" customFormat="1" ht="38.25" hidden="1" customHeight="1">
      <c r="A237" s="189"/>
      <c r="B237" s="189"/>
      <c r="C237" s="189"/>
      <c r="D237" s="190"/>
      <c r="E237" s="191" t="s">
        <v>53</v>
      </c>
      <c r="F237" s="192" t="s">
        <v>112</v>
      </c>
      <c r="G237" s="193">
        <v>843</v>
      </c>
      <c r="H237" s="196">
        <v>10</v>
      </c>
      <c r="I237" s="197" t="s">
        <v>25</v>
      </c>
      <c r="J237" s="197" t="s">
        <v>135</v>
      </c>
      <c r="K237" s="196" t="s">
        <v>67</v>
      </c>
      <c r="L237" s="198">
        <v>66910.3</v>
      </c>
      <c r="M237" s="199">
        <v>0</v>
      </c>
      <c r="N237" s="194">
        <v>0</v>
      </c>
      <c r="O237" s="194">
        <f t="shared" si="41"/>
        <v>0</v>
      </c>
      <c r="P237" s="194">
        <f t="shared" si="41"/>
        <v>0</v>
      </c>
      <c r="Q237" s="194">
        <f t="shared" si="35"/>
        <v>0</v>
      </c>
      <c r="AF237" s="234"/>
      <c r="AG237" s="234"/>
      <c r="AH237" s="234"/>
      <c r="AI237" s="234"/>
      <c r="AJ237" s="234"/>
      <c r="AK237" s="234"/>
    </row>
    <row r="238" spans="1:37" s="195" customFormat="1" ht="38.25" hidden="1" customHeight="1">
      <c r="A238" s="189"/>
      <c r="B238" s="189"/>
      <c r="C238" s="189"/>
      <c r="D238" s="190"/>
      <c r="E238" s="191" t="s">
        <v>37</v>
      </c>
      <c r="F238" s="192" t="s">
        <v>112</v>
      </c>
      <c r="G238" s="193">
        <v>843</v>
      </c>
      <c r="H238" s="196">
        <v>10</v>
      </c>
      <c r="I238" s="197" t="s">
        <v>25</v>
      </c>
      <c r="J238" s="197" t="s">
        <v>136</v>
      </c>
      <c r="K238" s="196" t="s">
        <v>66</v>
      </c>
      <c r="L238" s="198">
        <v>217510.6</v>
      </c>
      <c r="M238" s="199">
        <v>0</v>
      </c>
      <c r="N238" s="194">
        <v>0</v>
      </c>
      <c r="O238" s="194">
        <f t="shared" si="41"/>
        <v>0</v>
      </c>
      <c r="P238" s="194">
        <f t="shared" si="41"/>
        <v>0</v>
      </c>
      <c r="Q238" s="194">
        <f t="shared" si="35"/>
        <v>0</v>
      </c>
      <c r="AF238" s="234"/>
      <c r="AG238" s="234"/>
      <c r="AH238" s="234"/>
      <c r="AI238" s="234"/>
      <c r="AJ238" s="234"/>
      <c r="AK238" s="234"/>
    </row>
    <row r="239" spans="1:37" s="195" customFormat="1" ht="38.25" hidden="1" customHeight="1">
      <c r="A239" s="189"/>
      <c r="B239" s="190"/>
      <c r="C239" s="190"/>
      <c r="D239" s="190"/>
      <c r="E239" s="192" t="s">
        <v>65</v>
      </c>
      <c r="F239" s="192" t="s">
        <v>112</v>
      </c>
      <c r="G239" s="193">
        <v>843</v>
      </c>
      <c r="H239" s="196">
        <v>10</v>
      </c>
      <c r="I239" s="197" t="s">
        <v>25</v>
      </c>
      <c r="J239" s="197" t="s">
        <v>137</v>
      </c>
      <c r="K239" s="196">
        <v>851</v>
      </c>
      <c r="L239" s="198">
        <f>482.8+723.4</f>
        <v>1206.2</v>
      </c>
      <c r="M239" s="199">
        <v>0</v>
      </c>
      <c r="N239" s="194">
        <v>1442.2</v>
      </c>
      <c r="O239" s="194">
        <f t="shared" si="41"/>
        <v>1514.3100000000002</v>
      </c>
      <c r="P239" s="194">
        <f t="shared" si="41"/>
        <v>1590.0255000000002</v>
      </c>
      <c r="Q239" s="194">
        <f t="shared" si="35"/>
        <v>1669.5267750000003</v>
      </c>
      <c r="AF239" s="234"/>
      <c r="AG239" s="234"/>
      <c r="AH239" s="234"/>
      <c r="AI239" s="234"/>
      <c r="AJ239" s="234"/>
      <c r="AK239" s="234"/>
    </row>
    <row r="240" spans="1:37" ht="15.75" customHeight="1">
      <c r="A240" s="28"/>
      <c r="B240" s="28"/>
      <c r="C240" s="28"/>
      <c r="D240" s="28"/>
      <c r="E240" s="28"/>
      <c r="F240" s="28"/>
      <c r="G240" s="28"/>
      <c r="H240" s="28"/>
      <c r="I240" s="28"/>
      <c r="J240" s="28"/>
      <c r="K240" s="28"/>
      <c r="L240" s="49"/>
      <c r="M240" s="49"/>
      <c r="N240" s="49"/>
      <c r="O240" s="49"/>
      <c r="P240" s="49"/>
      <c r="Q240" s="49"/>
    </row>
    <row r="241" spans="1:12" ht="15">
      <c r="A241" s="28"/>
      <c r="B241" s="28"/>
      <c r="C241" s="28"/>
      <c r="D241" s="16"/>
      <c r="E241" s="28"/>
      <c r="F241" s="28"/>
      <c r="G241" s="521" t="s">
        <v>449</v>
      </c>
      <c r="H241" s="521"/>
      <c r="I241" s="521"/>
      <c r="J241" s="521"/>
      <c r="K241" s="521"/>
      <c r="L241" s="521"/>
    </row>
  </sheetData>
  <mergeCells count="88">
    <mergeCell ref="A223:A224"/>
    <mergeCell ref="B223:B224"/>
    <mergeCell ref="C223:C224"/>
    <mergeCell ref="D223:D224"/>
    <mergeCell ref="E223:E224"/>
    <mergeCell ref="G241:L241"/>
    <mergeCell ref="F215:F216"/>
    <mergeCell ref="A220:A221"/>
    <mergeCell ref="B220:B221"/>
    <mergeCell ref="C220:C221"/>
    <mergeCell ref="D220:D221"/>
    <mergeCell ref="E220:E221"/>
    <mergeCell ref="F220:F221"/>
    <mergeCell ref="A205:A216"/>
    <mergeCell ref="B205:B216"/>
    <mergeCell ref="C205:C216"/>
    <mergeCell ref="D205:D216"/>
    <mergeCell ref="E205:E216"/>
    <mergeCell ref="F205:F206"/>
    <mergeCell ref="F207:F208"/>
    <mergeCell ref="F209:F210"/>
    <mergeCell ref="F211:F212"/>
    <mergeCell ref="F213:F214"/>
    <mergeCell ref="F160:F161"/>
    <mergeCell ref="F163:F164"/>
    <mergeCell ref="A167:A168"/>
    <mergeCell ref="B167:B168"/>
    <mergeCell ref="C167:C168"/>
    <mergeCell ref="D167:D168"/>
    <mergeCell ref="E167:E168"/>
    <mergeCell ref="F167:F168"/>
    <mergeCell ref="A150:A164"/>
    <mergeCell ref="B150:B164"/>
    <mergeCell ref="C150:C164"/>
    <mergeCell ref="D150:D164"/>
    <mergeCell ref="E150:E164"/>
    <mergeCell ref="F150:F151"/>
    <mergeCell ref="F152:F153"/>
    <mergeCell ref="F154:F155"/>
    <mergeCell ref="F156:F157"/>
    <mergeCell ref="F158:F159"/>
    <mergeCell ref="G118:G119"/>
    <mergeCell ref="F118:F119"/>
    <mergeCell ref="A128:A135"/>
    <mergeCell ref="B128:B135"/>
    <mergeCell ref="C128:C135"/>
    <mergeCell ref="D128:D135"/>
    <mergeCell ref="E128:E135"/>
    <mergeCell ref="A118:A119"/>
    <mergeCell ref="B118:B119"/>
    <mergeCell ref="C118:C119"/>
    <mergeCell ref="D118:D119"/>
    <mergeCell ref="E118:E119"/>
    <mergeCell ref="A79:A82"/>
    <mergeCell ref="B79:B82"/>
    <mergeCell ref="C79:C82"/>
    <mergeCell ref="D79:D82"/>
    <mergeCell ref="E79:E82"/>
    <mergeCell ref="A102:A104"/>
    <mergeCell ref="B102:B104"/>
    <mergeCell ref="C102:C104"/>
    <mergeCell ref="D102:D104"/>
    <mergeCell ref="E102:E104"/>
    <mergeCell ref="A18:A25"/>
    <mergeCell ref="B18:B25"/>
    <mergeCell ref="C18:C25"/>
    <mergeCell ref="D18:D25"/>
    <mergeCell ref="E18:E25"/>
    <mergeCell ref="A26:A27"/>
    <mergeCell ref="B26:B27"/>
    <mergeCell ref="C26:C27"/>
    <mergeCell ref="D26:D27"/>
    <mergeCell ref="E26:E27"/>
    <mergeCell ref="F12:Q12"/>
    <mergeCell ref="A13:E13"/>
    <mergeCell ref="F13:Q13"/>
    <mergeCell ref="F14:Q14"/>
    <mergeCell ref="A16:D16"/>
    <mergeCell ref="E16:E17"/>
    <mergeCell ref="F16:F17"/>
    <mergeCell ref="G16:K16"/>
    <mergeCell ref="L16:Q16"/>
    <mergeCell ref="F11:Q11"/>
    <mergeCell ref="N1:Q1"/>
    <mergeCell ref="N2:Q2"/>
    <mergeCell ref="N4:Q4"/>
    <mergeCell ref="N6:Q6"/>
    <mergeCell ref="A9:Q9"/>
  </mergeCells>
  <printOptions horizontalCentered="1"/>
  <pageMargins left="0.27559055118110237" right="0.35433070866141736" top="0.37" bottom="0.25" header="0.17" footer="0.28999999999999998"/>
  <pageSetup paperSize="9" scale="59" fitToHeight="24" orientation="landscape"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sheetPr>
    <pageSetUpPr fitToPage="1"/>
  </sheetPr>
  <dimension ref="A1:AC60"/>
  <sheetViews>
    <sheetView topLeftCell="A10" zoomScale="90" zoomScaleNormal="90" workbookViewId="0">
      <selection activeCell="J41" sqref="J41"/>
    </sheetView>
  </sheetViews>
  <sheetFormatPr defaultRowHeight="15"/>
  <cols>
    <col min="1" max="1" width="5.140625" style="65" customWidth="1"/>
    <col min="2" max="2" width="6.28515625" style="65" customWidth="1"/>
    <col min="3" max="3" width="5.5703125" style="65" customWidth="1"/>
    <col min="4" max="4" width="6.42578125" customWidth="1"/>
    <col min="5" max="5" width="34.28515625" style="36" customWidth="1"/>
    <col min="6" max="6" width="29.28515625" customWidth="1"/>
    <col min="7" max="7" width="14.85546875" customWidth="1"/>
    <col min="8" max="9" width="9.42578125" hidden="1" customWidth="1"/>
    <col min="10" max="15" width="9.42578125" bestFit="1" customWidth="1"/>
    <col min="16" max="17" width="10" hidden="1" customWidth="1"/>
    <col min="18" max="18" width="10" style="36" bestFit="1" customWidth="1"/>
    <col min="19" max="23" width="10" bestFit="1" customWidth="1"/>
    <col min="24" max="24" width="11.5703125" hidden="1" customWidth="1"/>
    <col min="25" max="27" width="4.85546875" hidden="1" customWidth="1"/>
    <col min="28" max="29" width="0" hidden="1" customWidth="1"/>
  </cols>
  <sheetData>
    <row r="1" spans="1:23" ht="15.75">
      <c r="S1" s="681" t="s">
        <v>397</v>
      </c>
      <c r="T1" s="681"/>
      <c r="U1" s="681"/>
      <c r="V1" s="681"/>
      <c r="W1" s="681"/>
    </row>
    <row r="2" spans="1:23" ht="57.75" customHeight="1">
      <c r="S2" s="682" t="s">
        <v>453</v>
      </c>
      <c r="T2" s="682"/>
      <c r="U2" s="682"/>
      <c r="V2" s="682"/>
      <c r="W2" s="682"/>
    </row>
    <row r="4" spans="1:23" ht="15.75">
      <c r="J4" s="688"/>
      <c r="K4" s="688"/>
      <c r="L4" s="688"/>
      <c r="M4" s="688"/>
      <c r="N4" s="688"/>
      <c r="O4" s="688"/>
      <c r="P4" s="688"/>
      <c r="Q4" s="688"/>
      <c r="R4" s="688"/>
      <c r="S4" s="620" t="s">
        <v>450</v>
      </c>
      <c r="T4" s="620"/>
      <c r="U4" s="620"/>
      <c r="V4" s="620"/>
      <c r="W4" s="620"/>
    </row>
    <row r="5" spans="1:23" ht="15.75">
      <c r="P5" s="66"/>
      <c r="Q5" s="66"/>
      <c r="R5" s="20"/>
      <c r="T5" s="67"/>
      <c r="U5" s="67"/>
      <c r="V5" s="67"/>
      <c r="W5" s="67"/>
    </row>
    <row r="6" spans="1:23" ht="51" customHeight="1">
      <c r="J6" s="689"/>
      <c r="K6" s="689"/>
      <c r="L6" s="689"/>
      <c r="M6" s="689"/>
      <c r="N6" s="689"/>
      <c r="O6" s="689"/>
      <c r="P6" s="689"/>
      <c r="Q6" s="689"/>
      <c r="R6" s="689"/>
      <c r="S6" s="690" t="s">
        <v>178</v>
      </c>
      <c r="T6" s="690"/>
      <c r="U6" s="690"/>
      <c r="V6" s="690"/>
      <c r="W6" s="690"/>
    </row>
    <row r="7" spans="1:23">
      <c r="E7" s="68"/>
      <c r="F7" s="69"/>
      <c r="G7" s="69"/>
      <c r="H7" s="69"/>
      <c r="I7" s="69"/>
      <c r="J7" s="69"/>
      <c r="K7" s="69"/>
      <c r="L7" s="69"/>
      <c r="M7" s="69"/>
      <c r="N7" s="69"/>
      <c r="O7" s="69"/>
      <c r="R7" s="20"/>
    </row>
    <row r="8" spans="1:23">
      <c r="E8" s="68"/>
      <c r="F8" s="69"/>
      <c r="G8" s="69"/>
      <c r="H8" s="69"/>
      <c r="I8" s="69"/>
      <c r="J8" s="69"/>
      <c r="K8" s="69"/>
      <c r="L8" s="69"/>
      <c r="M8" s="69"/>
      <c r="N8" s="69"/>
      <c r="O8" s="69"/>
      <c r="R8" s="20"/>
    </row>
    <row r="9" spans="1:23">
      <c r="A9" s="691" t="s">
        <v>398</v>
      </c>
      <c r="B9" s="691"/>
      <c r="C9" s="691"/>
      <c r="D9" s="691"/>
      <c r="E9" s="691"/>
      <c r="F9" s="691"/>
      <c r="G9" s="691"/>
      <c r="H9" s="691"/>
      <c r="I9" s="691"/>
      <c r="J9" s="691"/>
      <c r="K9" s="691"/>
      <c r="L9" s="691"/>
      <c r="M9" s="691"/>
      <c r="N9" s="691"/>
      <c r="O9" s="691"/>
      <c r="P9" s="691"/>
      <c r="Q9" s="691"/>
      <c r="R9" s="691"/>
      <c r="S9" s="691"/>
      <c r="T9" s="691"/>
      <c r="U9" s="691"/>
      <c r="V9" s="691"/>
      <c r="W9" s="691"/>
    </row>
    <row r="10" spans="1:23">
      <c r="E10" s="68"/>
      <c r="F10" s="69"/>
      <c r="G10" s="69"/>
      <c r="H10" s="69"/>
      <c r="I10" s="69"/>
      <c r="J10" s="69"/>
      <c r="K10" s="69"/>
      <c r="L10" s="69"/>
      <c r="M10" s="69"/>
      <c r="N10" s="69"/>
      <c r="O10" s="69"/>
      <c r="P10" s="69"/>
      <c r="Q10" s="69"/>
      <c r="R10" s="68"/>
    </row>
    <row r="11" spans="1:23">
      <c r="A11" s="70" t="s">
        <v>0</v>
      </c>
      <c r="B11" s="70"/>
      <c r="C11" s="70"/>
      <c r="D11" s="71"/>
      <c r="E11" s="72"/>
      <c r="F11" s="687" t="s">
        <v>399</v>
      </c>
      <c r="G11" s="687"/>
      <c r="H11" s="687"/>
      <c r="I11" s="687"/>
      <c r="J11" s="687"/>
      <c r="K11" s="687"/>
      <c r="L11" s="687"/>
      <c r="M11" s="687"/>
      <c r="N11" s="687"/>
      <c r="O11" s="687"/>
      <c r="P11" s="687"/>
      <c r="Q11" s="687"/>
      <c r="R11" s="687"/>
      <c r="S11" s="687"/>
      <c r="T11" s="687"/>
      <c r="U11" s="687"/>
      <c r="V11" s="687"/>
      <c r="W11" s="687"/>
    </row>
    <row r="12" spans="1:23">
      <c r="E12" s="61"/>
      <c r="F12" s="686" t="s">
        <v>1</v>
      </c>
      <c r="G12" s="686"/>
      <c r="H12" s="686"/>
      <c r="I12" s="686"/>
      <c r="J12" s="686"/>
      <c r="K12" s="686"/>
      <c r="L12" s="686"/>
      <c r="M12" s="686"/>
      <c r="N12" s="686"/>
      <c r="O12" s="686"/>
      <c r="P12" s="686"/>
      <c r="Q12" s="686"/>
      <c r="R12" s="686"/>
      <c r="S12" s="686"/>
      <c r="T12" s="686"/>
      <c r="U12" s="686"/>
      <c r="V12" s="686"/>
      <c r="W12" s="686"/>
    </row>
    <row r="13" spans="1:23">
      <c r="A13" s="544" t="s">
        <v>11</v>
      </c>
      <c r="B13" s="544"/>
      <c r="C13" s="544"/>
      <c r="D13" s="544"/>
      <c r="E13" s="544"/>
      <c r="F13" s="692" t="s">
        <v>400</v>
      </c>
      <c r="G13" s="692"/>
      <c r="H13" s="692"/>
      <c r="I13" s="692"/>
      <c r="J13" s="692"/>
      <c r="K13" s="692"/>
      <c r="L13" s="692"/>
      <c r="M13" s="692"/>
      <c r="N13" s="692"/>
      <c r="O13" s="692"/>
      <c r="P13" s="692"/>
      <c r="Q13" s="692"/>
      <c r="R13" s="692"/>
      <c r="S13" s="692"/>
      <c r="T13" s="692"/>
      <c r="U13" s="692"/>
      <c r="V13" s="692"/>
      <c r="W13" s="692"/>
    </row>
    <row r="14" spans="1:23">
      <c r="E14" s="60"/>
      <c r="F14" s="686" t="s">
        <v>2</v>
      </c>
      <c r="G14" s="686"/>
      <c r="H14" s="686"/>
      <c r="I14" s="686"/>
      <c r="J14" s="686"/>
      <c r="K14" s="686"/>
      <c r="L14" s="686"/>
      <c r="M14" s="686"/>
      <c r="N14" s="686"/>
      <c r="O14" s="686"/>
      <c r="P14" s="686"/>
      <c r="Q14" s="686"/>
      <c r="R14" s="686"/>
      <c r="S14" s="686"/>
      <c r="T14" s="686"/>
      <c r="U14" s="686"/>
      <c r="V14" s="686"/>
      <c r="W14" s="686"/>
    </row>
    <row r="15" spans="1:23">
      <c r="E15" s="9"/>
      <c r="F15" s="73"/>
      <c r="G15" s="73"/>
      <c r="H15" s="73"/>
      <c r="I15" s="73"/>
      <c r="J15" s="73"/>
      <c r="K15" s="73"/>
      <c r="L15" s="73"/>
      <c r="M15" s="73"/>
      <c r="N15" s="73"/>
      <c r="O15" s="73"/>
      <c r="P15" s="73"/>
      <c r="Q15" s="73"/>
      <c r="R15" s="9"/>
    </row>
    <row r="16" spans="1:23" s="88" customFormat="1" ht="54.75" customHeight="1">
      <c r="A16" s="694" t="s">
        <v>3</v>
      </c>
      <c r="B16" s="695"/>
      <c r="C16" s="695"/>
      <c r="D16" s="696"/>
      <c r="E16" s="697" t="s">
        <v>401</v>
      </c>
      <c r="F16" s="698" t="s">
        <v>402</v>
      </c>
      <c r="G16" s="698" t="s">
        <v>403</v>
      </c>
      <c r="H16" s="698" t="s">
        <v>432</v>
      </c>
      <c r="I16" s="698"/>
      <c r="J16" s="698"/>
      <c r="K16" s="698"/>
      <c r="L16" s="698"/>
      <c r="M16" s="698"/>
      <c r="N16" s="698"/>
      <c r="O16" s="698"/>
      <c r="P16" s="698" t="s">
        <v>404</v>
      </c>
      <c r="Q16" s="698"/>
      <c r="R16" s="698"/>
      <c r="S16" s="698"/>
      <c r="T16" s="698"/>
      <c r="U16" s="698"/>
      <c r="V16" s="698"/>
      <c r="W16" s="698"/>
    </row>
    <row r="17" spans="1:27" s="88" customFormat="1" ht="25.5" customHeight="1">
      <c r="A17" s="86" t="s">
        <v>4</v>
      </c>
      <c r="B17" s="86" t="s">
        <v>5</v>
      </c>
      <c r="C17" s="86" t="s">
        <v>12</v>
      </c>
      <c r="D17" s="87" t="s">
        <v>13</v>
      </c>
      <c r="E17" s="697" t="s">
        <v>405</v>
      </c>
      <c r="F17" s="698" t="s">
        <v>38</v>
      </c>
      <c r="G17" s="698"/>
      <c r="H17" s="75" t="s">
        <v>406</v>
      </c>
      <c r="I17" s="75" t="s">
        <v>407</v>
      </c>
      <c r="J17" s="75" t="s">
        <v>39</v>
      </c>
      <c r="K17" s="75" t="s">
        <v>83</v>
      </c>
      <c r="L17" s="75" t="s">
        <v>84</v>
      </c>
      <c r="M17" s="75" t="s">
        <v>85</v>
      </c>
      <c r="N17" s="75" t="s">
        <v>86</v>
      </c>
      <c r="O17" s="75" t="s">
        <v>87</v>
      </c>
      <c r="P17" s="75" t="s">
        <v>406</v>
      </c>
      <c r="Q17" s="75" t="s">
        <v>407</v>
      </c>
      <c r="R17" s="177" t="s">
        <v>39</v>
      </c>
      <c r="S17" s="75" t="s">
        <v>83</v>
      </c>
      <c r="T17" s="75" t="s">
        <v>84</v>
      </c>
      <c r="U17" s="75" t="s">
        <v>85</v>
      </c>
      <c r="V17" s="75" t="s">
        <v>86</v>
      </c>
      <c r="W17" s="75" t="s">
        <v>87</v>
      </c>
    </row>
    <row r="18" spans="1:27" s="121" customFormat="1" ht="38.25" hidden="1">
      <c r="A18" s="115" t="s">
        <v>110</v>
      </c>
      <c r="B18" s="115" t="s">
        <v>8</v>
      </c>
      <c r="C18" s="115"/>
      <c r="D18" s="115"/>
      <c r="E18" s="116" t="s">
        <v>176</v>
      </c>
      <c r="F18" s="117"/>
      <c r="G18" s="118"/>
      <c r="H18" s="119"/>
      <c r="I18" s="119"/>
      <c r="J18" s="118"/>
      <c r="K18" s="118">
        <f t="shared" ref="K18:O19" si="0">K19</f>
        <v>995</v>
      </c>
      <c r="L18" s="118">
        <f t="shared" si="0"/>
        <v>995</v>
      </c>
      <c r="M18" s="118">
        <f t="shared" si="0"/>
        <v>995</v>
      </c>
      <c r="N18" s="118">
        <f t="shared" si="0"/>
        <v>995</v>
      </c>
      <c r="O18" s="118">
        <f t="shared" si="0"/>
        <v>995</v>
      </c>
      <c r="P18" s="119"/>
      <c r="Q18" s="119"/>
      <c r="R18" s="135"/>
      <c r="S18" s="120">
        <f t="shared" ref="S18:W19" si="1">S19</f>
        <v>8503</v>
      </c>
      <c r="T18" s="120">
        <f t="shared" si="1"/>
        <v>6590.2</v>
      </c>
      <c r="U18" s="120">
        <f t="shared" si="1"/>
        <v>6919.71</v>
      </c>
      <c r="V18" s="120">
        <f t="shared" si="1"/>
        <v>7265.6955000000007</v>
      </c>
      <c r="W18" s="120">
        <f t="shared" si="1"/>
        <v>7607.1831885000001</v>
      </c>
    </row>
    <row r="19" spans="1:27" s="121" customFormat="1" ht="63.75" hidden="1">
      <c r="A19" s="50" t="s">
        <v>110</v>
      </c>
      <c r="B19" s="50" t="s">
        <v>8</v>
      </c>
      <c r="C19" s="50" t="s">
        <v>9</v>
      </c>
      <c r="D19" s="122"/>
      <c r="E19" s="123" t="s">
        <v>394</v>
      </c>
      <c r="F19" s="124"/>
      <c r="G19" s="125"/>
      <c r="H19" s="119"/>
      <c r="I19" s="119"/>
      <c r="J19" s="119"/>
      <c r="K19" s="119">
        <f t="shared" si="0"/>
        <v>995</v>
      </c>
      <c r="L19" s="119">
        <f t="shared" si="0"/>
        <v>995</v>
      </c>
      <c r="M19" s="119">
        <f t="shared" si="0"/>
        <v>995</v>
      </c>
      <c r="N19" s="119">
        <f t="shared" si="0"/>
        <v>995</v>
      </c>
      <c r="O19" s="119">
        <f t="shared" si="0"/>
        <v>995</v>
      </c>
      <c r="P19" s="119"/>
      <c r="Q19" s="119"/>
      <c r="R19" s="52"/>
      <c r="S19" s="126">
        <f t="shared" si="1"/>
        <v>8503</v>
      </c>
      <c r="T19" s="126">
        <f t="shared" si="1"/>
        <v>6590.2</v>
      </c>
      <c r="U19" s="126">
        <f t="shared" si="1"/>
        <v>6919.71</v>
      </c>
      <c r="V19" s="126">
        <f t="shared" si="1"/>
        <v>7265.6955000000007</v>
      </c>
      <c r="W19" s="126">
        <f t="shared" si="1"/>
        <v>7607.1831885000001</v>
      </c>
    </row>
    <row r="20" spans="1:27" s="132" customFormat="1" ht="12.75">
      <c r="A20" s="8" t="s">
        <v>110</v>
      </c>
      <c r="B20" s="8" t="s">
        <v>8</v>
      </c>
      <c r="C20" s="8" t="s">
        <v>9</v>
      </c>
      <c r="D20" s="7"/>
      <c r="E20" s="127" t="s">
        <v>408</v>
      </c>
      <c r="F20" s="128" t="s">
        <v>448</v>
      </c>
      <c r="G20" s="129" t="s">
        <v>409</v>
      </c>
      <c r="H20" s="130"/>
      <c r="I20" s="130"/>
      <c r="J20" s="130"/>
      <c r="K20" s="130">
        <v>995</v>
      </c>
      <c r="L20" s="130">
        <v>995</v>
      </c>
      <c r="M20" s="130">
        <v>995</v>
      </c>
      <c r="N20" s="130">
        <v>995</v>
      </c>
      <c r="O20" s="130">
        <v>995</v>
      </c>
      <c r="P20" s="130"/>
      <c r="Q20" s="130"/>
      <c r="R20" s="179"/>
      <c r="S20" s="131">
        <f>'[4]ресурсн обеспечен'!M92</f>
        <v>8503</v>
      </c>
      <c r="T20" s="131">
        <f>'[4]ресурсн обеспечен'!N92</f>
        <v>6590.2</v>
      </c>
      <c r="U20" s="131">
        <f>'[4]ресурсн обеспечен'!O92</f>
        <v>6919.71</v>
      </c>
      <c r="V20" s="131">
        <f>'[4]ресурсн обеспечен'!P92</f>
        <v>7265.6955000000007</v>
      </c>
      <c r="W20" s="131">
        <f>'[4]ресурсн обеспечен'!Q92</f>
        <v>7607.1831885000001</v>
      </c>
    </row>
    <row r="21" spans="1:27" s="121" customFormat="1" ht="25.5" hidden="1">
      <c r="A21" s="135">
        <v>30</v>
      </c>
      <c r="B21" s="135" t="s">
        <v>9</v>
      </c>
      <c r="C21" s="135"/>
      <c r="D21" s="52"/>
      <c r="E21" s="136" t="s">
        <v>61</v>
      </c>
      <c r="F21" s="124"/>
      <c r="G21" s="125"/>
      <c r="H21" s="119"/>
      <c r="I21" s="119"/>
      <c r="J21" s="119"/>
      <c r="K21" s="119"/>
      <c r="L21" s="119"/>
      <c r="M21" s="119"/>
      <c r="N21" s="119"/>
      <c r="O21" s="119"/>
      <c r="P21" s="119"/>
      <c r="Q21" s="119"/>
      <c r="R21" s="52"/>
      <c r="S21" s="119"/>
      <c r="T21" s="119"/>
      <c r="U21" s="119"/>
      <c r="V21" s="119"/>
      <c r="W21" s="119"/>
    </row>
    <row r="22" spans="1:27" s="121" customFormat="1" ht="71.25" hidden="1" customHeight="1">
      <c r="A22" s="50" t="s">
        <v>110</v>
      </c>
      <c r="B22" s="50" t="s">
        <v>9</v>
      </c>
      <c r="C22" s="50" t="s">
        <v>7</v>
      </c>
      <c r="D22" s="52"/>
      <c r="E22" s="137" t="s">
        <v>312</v>
      </c>
      <c r="F22" s="124"/>
      <c r="G22" s="125"/>
      <c r="H22" s="119"/>
      <c r="I22" s="119"/>
      <c r="J22" s="119"/>
      <c r="K22" s="119">
        <f>K23</f>
        <v>3267</v>
      </c>
      <c r="L22" s="119">
        <f t="shared" ref="L22:W22" si="2">L23</f>
        <v>3267</v>
      </c>
      <c r="M22" s="119">
        <f t="shared" si="2"/>
        <v>3267</v>
      </c>
      <c r="N22" s="119">
        <f t="shared" si="2"/>
        <v>3267</v>
      </c>
      <c r="O22" s="119">
        <f t="shared" si="2"/>
        <v>3267</v>
      </c>
      <c r="P22" s="119">
        <f t="shared" si="2"/>
        <v>0</v>
      </c>
      <c r="Q22" s="119">
        <f t="shared" si="2"/>
        <v>0</v>
      </c>
      <c r="R22" s="52"/>
      <c r="S22" s="138">
        <f>S23</f>
        <v>593771</v>
      </c>
      <c r="T22" s="138">
        <f t="shared" si="2"/>
        <v>417656.3</v>
      </c>
      <c r="U22" s="138">
        <f t="shared" si="2"/>
        <v>438539.11500000005</v>
      </c>
      <c r="V22" s="138">
        <f t="shared" si="2"/>
        <v>460466.07075000007</v>
      </c>
      <c r="W22" s="138">
        <f t="shared" si="2"/>
        <v>483489.37428750005</v>
      </c>
    </row>
    <row r="23" spans="1:27" s="94" customFormat="1" ht="225" customHeight="1">
      <c r="A23" s="163" t="s">
        <v>110</v>
      </c>
      <c r="B23" s="163" t="s">
        <v>9</v>
      </c>
      <c r="C23" s="163" t="s">
        <v>7</v>
      </c>
      <c r="D23" s="8"/>
      <c r="E23" s="76" t="s">
        <v>484</v>
      </c>
      <c r="F23" s="99" t="s">
        <v>410</v>
      </c>
      <c r="G23" s="161" t="s">
        <v>409</v>
      </c>
      <c r="H23" s="161"/>
      <c r="I23" s="161"/>
      <c r="J23" s="161"/>
      <c r="K23" s="161">
        <v>3267</v>
      </c>
      <c r="L23" s="161">
        <v>3267</v>
      </c>
      <c r="M23" s="161">
        <v>3267</v>
      </c>
      <c r="N23" s="161">
        <v>3267</v>
      </c>
      <c r="O23" s="161">
        <v>3267</v>
      </c>
      <c r="P23" s="161"/>
      <c r="Q23" s="161"/>
      <c r="R23" s="177"/>
      <c r="S23" s="174">
        <f>'ресурсн обеспечен'!M134</f>
        <v>593771</v>
      </c>
      <c r="T23" s="174">
        <f>'ресурсн обеспечен'!N134</f>
        <v>417656.3</v>
      </c>
      <c r="U23" s="174">
        <f>'ресурсн обеспечен'!O134</f>
        <v>438539.11500000005</v>
      </c>
      <c r="V23" s="174">
        <f>'ресурсн обеспечен'!P134</f>
        <v>460466.07075000007</v>
      </c>
      <c r="W23" s="174">
        <f>'ресурсн обеспечен'!Q134</f>
        <v>483489.37428750005</v>
      </c>
    </row>
    <row r="24" spans="1:27" s="121" customFormat="1" ht="76.5" hidden="1">
      <c r="A24" s="50" t="s">
        <v>110</v>
      </c>
      <c r="B24" s="50" t="s">
        <v>9</v>
      </c>
      <c r="C24" s="50" t="s">
        <v>8</v>
      </c>
      <c r="D24" s="50"/>
      <c r="E24" s="137" t="s">
        <v>316</v>
      </c>
      <c r="F24" s="124"/>
      <c r="G24" s="125"/>
      <c r="H24" s="119"/>
      <c r="I24" s="119"/>
      <c r="J24" s="119"/>
      <c r="K24" s="119">
        <f>K25+K26+K27+K28+K29</f>
        <v>145</v>
      </c>
      <c r="L24" s="119">
        <f t="shared" ref="L24:S24" si="3">L25+L26+L27+L28+L29</f>
        <v>145</v>
      </c>
      <c r="M24" s="119">
        <f t="shared" si="3"/>
        <v>145</v>
      </c>
      <c r="N24" s="119">
        <f t="shared" si="3"/>
        <v>145</v>
      </c>
      <c r="O24" s="119">
        <f t="shared" si="3"/>
        <v>145</v>
      </c>
      <c r="P24" s="119">
        <f t="shared" si="3"/>
        <v>145</v>
      </c>
      <c r="Q24" s="119">
        <f t="shared" si="3"/>
        <v>145</v>
      </c>
      <c r="R24" s="52">
        <f t="shared" si="3"/>
        <v>0</v>
      </c>
      <c r="S24" s="138">
        <f t="shared" si="3"/>
        <v>42655.400000000009</v>
      </c>
      <c r="T24" s="138">
        <f>T25+T26+T27+T28+T29</f>
        <v>32775.099999999991</v>
      </c>
      <c r="U24" s="138">
        <f>U25+U26+U27+U28+U29</f>
        <v>34413.854999999996</v>
      </c>
      <c r="V24" s="138">
        <f>V25+V26+V27+V28+V29</f>
        <v>36134.547749999998</v>
      </c>
      <c r="W24" s="138">
        <f>W25+W26+W27+W28+W29</f>
        <v>37941.275137499993</v>
      </c>
    </row>
    <row r="25" spans="1:27" s="88" customFormat="1" ht="127.5">
      <c r="A25" s="133" t="s">
        <v>110</v>
      </c>
      <c r="B25" s="133" t="s">
        <v>9</v>
      </c>
      <c r="C25" s="133" t="s">
        <v>8</v>
      </c>
      <c r="D25" s="62"/>
      <c r="E25" s="59" t="s">
        <v>434</v>
      </c>
      <c r="F25" s="98" t="s">
        <v>436</v>
      </c>
      <c r="G25" s="74" t="s">
        <v>409</v>
      </c>
      <c r="H25" s="75"/>
      <c r="I25" s="75"/>
      <c r="J25" s="75"/>
      <c r="K25" s="75">
        <v>35</v>
      </c>
      <c r="L25" s="75">
        <v>35</v>
      </c>
      <c r="M25" s="75">
        <v>35</v>
      </c>
      <c r="N25" s="75">
        <v>35</v>
      </c>
      <c r="O25" s="75">
        <v>35</v>
      </c>
      <c r="P25" s="75">
        <v>35</v>
      </c>
      <c r="Q25" s="75">
        <v>35</v>
      </c>
      <c r="R25" s="177"/>
      <c r="S25" s="78">
        <f>10281.45992+300</f>
        <v>10581.459919999999</v>
      </c>
      <c r="T25" s="78">
        <f>S25*X25</f>
        <v>8130.4689915929039</v>
      </c>
      <c r="U25" s="78">
        <f>T25*Y25</f>
        <v>8536.9924411725497</v>
      </c>
      <c r="V25" s="78">
        <f>U25*Z25</f>
        <v>8963.8420632311772</v>
      </c>
      <c r="W25" s="78">
        <f>V25*AA25</f>
        <v>9412.0341663927356</v>
      </c>
      <c r="X25" s="88">
        <v>0.76836930376927648</v>
      </c>
      <c r="Y25" s="88">
        <v>1.05</v>
      </c>
      <c r="Z25" s="88">
        <v>1.05</v>
      </c>
      <c r="AA25" s="88">
        <v>1.05</v>
      </c>
    </row>
    <row r="26" spans="1:27" s="88" customFormat="1" ht="140.25">
      <c r="A26" s="133" t="s">
        <v>110</v>
      </c>
      <c r="B26" s="133" t="s">
        <v>9</v>
      </c>
      <c r="C26" s="133" t="s">
        <v>8</v>
      </c>
      <c r="D26" s="62"/>
      <c r="E26" s="59" t="s">
        <v>437</v>
      </c>
      <c r="F26" s="98" t="s">
        <v>436</v>
      </c>
      <c r="G26" s="74" t="s">
        <v>409</v>
      </c>
      <c r="H26" s="75"/>
      <c r="I26" s="75"/>
      <c r="J26" s="75"/>
      <c r="K26" s="75">
        <v>19</v>
      </c>
      <c r="L26" s="75">
        <v>19</v>
      </c>
      <c r="M26" s="75">
        <v>19</v>
      </c>
      <c r="N26" s="75">
        <v>19</v>
      </c>
      <c r="O26" s="75">
        <v>19</v>
      </c>
      <c r="P26" s="75">
        <v>19</v>
      </c>
      <c r="Q26" s="75">
        <v>19</v>
      </c>
      <c r="R26" s="177"/>
      <c r="S26" s="78">
        <v>5523.5139799999997</v>
      </c>
      <c r="T26" s="78">
        <f t="shared" ref="T26:U29" si="4">S26*X26</f>
        <v>4244.0985911724647</v>
      </c>
      <c r="U26" s="78">
        <f t="shared" si="4"/>
        <v>4456.3035207310877</v>
      </c>
      <c r="V26" s="78">
        <f t="shared" ref="V26:W29" si="5">U26*Z26</f>
        <v>4679.1186967676422</v>
      </c>
      <c r="W26" s="78">
        <f t="shared" si="5"/>
        <v>4913.0746316060249</v>
      </c>
      <c r="X26" s="88">
        <v>0.76836930376927648</v>
      </c>
      <c r="Y26" s="88">
        <v>1.05</v>
      </c>
      <c r="Z26" s="88">
        <v>1.05</v>
      </c>
      <c r="AA26" s="88">
        <v>1.05</v>
      </c>
    </row>
    <row r="27" spans="1:27" s="88" customFormat="1" ht="127.5">
      <c r="A27" s="133" t="s">
        <v>110</v>
      </c>
      <c r="B27" s="133" t="s">
        <v>9</v>
      </c>
      <c r="C27" s="133" t="s">
        <v>8</v>
      </c>
      <c r="D27" s="62"/>
      <c r="E27" s="59" t="s">
        <v>433</v>
      </c>
      <c r="F27" s="98" t="s">
        <v>436</v>
      </c>
      <c r="G27" s="74" t="s">
        <v>409</v>
      </c>
      <c r="H27" s="75"/>
      <c r="I27" s="75"/>
      <c r="J27" s="75"/>
      <c r="K27" s="75">
        <v>28</v>
      </c>
      <c r="L27" s="75">
        <v>28</v>
      </c>
      <c r="M27" s="75">
        <v>28</v>
      </c>
      <c r="N27" s="75">
        <v>28</v>
      </c>
      <c r="O27" s="75">
        <v>28</v>
      </c>
      <c r="P27" s="75">
        <v>28</v>
      </c>
      <c r="Q27" s="75">
        <v>28</v>
      </c>
      <c r="R27" s="177"/>
      <c r="S27" s="78">
        <v>8317.76901</v>
      </c>
      <c r="T27" s="78">
        <f t="shared" si="4"/>
        <v>6391.1183831273638</v>
      </c>
      <c r="U27" s="78">
        <f t="shared" si="4"/>
        <v>6710.6743022837327</v>
      </c>
      <c r="V27" s="78">
        <f t="shared" si="5"/>
        <v>7046.2080173979193</v>
      </c>
      <c r="W27" s="78">
        <f>V27*AA27</f>
        <v>7398.5184182678158</v>
      </c>
      <c r="X27" s="88">
        <v>0.76836930376927648</v>
      </c>
      <c r="Y27" s="88">
        <v>1.05</v>
      </c>
      <c r="Z27" s="88">
        <v>1.05</v>
      </c>
      <c r="AA27" s="88">
        <v>1.05</v>
      </c>
    </row>
    <row r="28" spans="1:27" s="88" customFormat="1" ht="127.5">
      <c r="A28" s="133" t="s">
        <v>110</v>
      </c>
      <c r="B28" s="133" t="s">
        <v>9</v>
      </c>
      <c r="C28" s="133" t="s">
        <v>8</v>
      </c>
      <c r="D28" s="62"/>
      <c r="E28" s="59" t="s">
        <v>435</v>
      </c>
      <c r="F28" s="98" t="s">
        <v>436</v>
      </c>
      <c r="G28" s="74" t="s">
        <v>409</v>
      </c>
      <c r="H28" s="75"/>
      <c r="I28" s="75"/>
      <c r="J28" s="75"/>
      <c r="K28" s="75">
        <v>30</v>
      </c>
      <c r="L28" s="75">
        <v>30</v>
      </c>
      <c r="M28" s="75">
        <v>30</v>
      </c>
      <c r="N28" s="75">
        <v>30</v>
      </c>
      <c r="O28" s="75">
        <v>30</v>
      </c>
      <c r="P28" s="75">
        <v>30</v>
      </c>
      <c r="Q28" s="75">
        <v>30</v>
      </c>
      <c r="R28" s="177"/>
      <c r="S28" s="78">
        <v>8774.1529100000007</v>
      </c>
      <c r="T28" s="78">
        <f t="shared" si="4"/>
        <v>6741.7897626218719</v>
      </c>
      <c r="U28" s="78">
        <f t="shared" si="4"/>
        <v>7078.8792507529661</v>
      </c>
      <c r="V28" s="78">
        <f t="shared" si="5"/>
        <v>7432.8232132906151</v>
      </c>
      <c r="W28" s="78">
        <f>V28*AA28</f>
        <v>7804.4643739551466</v>
      </c>
      <c r="X28" s="88">
        <v>0.76836930376927648</v>
      </c>
      <c r="Y28" s="88">
        <v>1.05</v>
      </c>
      <c r="Z28" s="88">
        <v>1.05</v>
      </c>
      <c r="AA28" s="88">
        <v>1.05</v>
      </c>
    </row>
    <row r="29" spans="1:27" s="88" customFormat="1" ht="89.25">
      <c r="A29" s="133" t="s">
        <v>110</v>
      </c>
      <c r="B29" s="133" t="s">
        <v>9</v>
      </c>
      <c r="C29" s="133" t="s">
        <v>8</v>
      </c>
      <c r="D29" s="62"/>
      <c r="E29" s="59" t="s">
        <v>438</v>
      </c>
      <c r="F29" s="98" t="s">
        <v>436</v>
      </c>
      <c r="G29" s="74" t="s">
        <v>409</v>
      </c>
      <c r="H29" s="75"/>
      <c r="I29" s="75"/>
      <c r="J29" s="75"/>
      <c r="K29" s="75">
        <v>33</v>
      </c>
      <c r="L29" s="75">
        <v>33</v>
      </c>
      <c r="M29" s="75">
        <v>33</v>
      </c>
      <c r="N29" s="75">
        <v>33</v>
      </c>
      <c r="O29" s="75">
        <v>33</v>
      </c>
      <c r="P29" s="75">
        <v>33</v>
      </c>
      <c r="Q29" s="75">
        <v>33</v>
      </c>
      <c r="R29" s="177"/>
      <c r="S29" s="78">
        <v>9458.5041799999999</v>
      </c>
      <c r="T29" s="78">
        <f t="shared" si="4"/>
        <v>7267.624271485387</v>
      </c>
      <c r="U29" s="78">
        <f t="shared" si="4"/>
        <v>7631.0054850596571</v>
      </c>
      <c r="V29" s="78">
        <f t="shared" si="5"/>
        <v>8012.5557593126405</v>
      </c>
      <c r="W29" s="78">
        <f>V29*AA29</f>
        <v>8413.1835472782732</v>
      </c>
      <c r="X29" s="88">
        <v>0.76836930376927604</v>
      </c>
      <c r="Y29" s="88">
        <v>1.05</v>
      </c>
      <c r="Z29" s="88">
        <v>1.05</v>
      </c>
      <c r="AA29" s="88">
        <v>1.05</v>
      </c>
    </row>
    <row r="30" spans="1:27" s="121" customFormat="1" ht="120.75" hidden="1" customHeight="1">
      <c r="A30" s="50" t="s">
        <v>110</v>
      </c>
      <c r="B30" s="50" t="s">
        <v>9</v>
      </c>
      <c r="C30" s="50" t="s">
        <v>9</v>
      </c>
      <c r="D30" s="50"/>
      <c r="E30" s="137" t="s">
        <v>319</v>
      </c>
      <c r="F30" s="124"/>
      <c r="G30" s="125"/>
      <c r="H30" s="119"/>
      <c r="I30" s="119"/>
      <c r="J30" s="119"/>
      <c r="K30" s="138">
        <f>K31+K32+K33+K34+K38+K39</f>
        <v>53389</v>
      </c>
      <c r="L30" s="119">
        <f t="shared" ref="L30:R30" si="6">L31+L32+L33+L34+L38+L39</f>
        <v>53389</v>
      </c>
      <c r="M30" s="119">
        <f t="shared" si="6"/>
        <v>53389</v>
      </c>
      <c r="N30" s="119">
        <f t="shared" si="6"/>
        <v>53389</v>
      </c>
      <c r="O30" s="119">
        <f t="shared" si="6"/>
        <v>53389</v>
      </c>
      <c r="P30" s="119">
        <f t="shared" si="6"/>
        <v>0</v>
      </c>
      <c r="Q30" s="119">
        <f t="shared" si="6"/>
        <v>0</v>
      </c>
      <c r="R30" s="52">
        <f t="shared" si="6"/>
        <v>0</v>
      </c>
      <c r="S30" s="138">
        <f>S31+S32+S33+S34+S38+S39</f>
        <v>685567.77792999998</v>
      </c>
      <c r="T30" s="138">
        <f>T31+T32+T33+T34+T38+T39</f>
        <v>565593.86315803474</v>
      </c>
      <c r="U30" s="138">
        <f>U31+U32+U33+U34+U38+U39</f>
        <v>594743.23763169535</v>
      </c>
      <c r="V30" s="138">
        <f>V31+V32+V33+V34+V38+V39</f>
        <v>625393.5648948265</v>
      </c>
      <c r="W30" s="138">
        <f>W31+W32+W33+W34+W38+W39</f>
        <v>657622.06679019181</v>
      </c>
    </row>
    <row r="31" spans="1:27" s="94" customFormat="1" ht="249" customHeight="1">
      <c r="A31" s="8" t="s">
        <v>110</v>
      </c>
      <c r="B31" s="8" t="s">
        <v>9</v>
      </c>
      <c r="C31" s="8" t="s">
        <v>9</v>
      </c>
      <c r="D31" s="162"/>
      <c r="E31" s="59" t="s">
        <v>485</v>
      </c>
      <c r="F31" s="164" t="s">
        <v>443</v>
      </c>
      <c r="G31" s="161" t="s">
        <v>409</v>
      </c>
      <c r="H31" s="161"/>
      <c r="I31" s="161"/>
      <c r="J31" s="161"/>
      <c r="K31" s="161">
        <v>5859</v>
      </c>
      <c r="L31" s="161">
        <v>5859</v>
      </c>
      <c r="M31" s="161">
        <v>5859</v>
      </c>
      <c r="N31" s="161">
        <v>5859</v>
      </c>
      <c r="O31" s="161">
        <v>5859</v>
      </c>
      <c r="P31" s="161"/>
      <c r="Q31" s="161"/>
      <c r="R31" s="177"/>
      <c r="S31" s="174">
        <f>150566.99033+3934.43</f>
        <v>154501.42032999999</v>
      </c>
      <c r="T31" s="174">
        <f>S31*X31</f>
        <v>127277.11165377901</v>
      </c>
      <c r="U31" s="174">
        <f>T31*Y31</f>
        <v>133640.96723646796</v>
      </c>
      <c r="V31" s="174">
        <f>U31*Z31</f>
        <v>140323.01559829136</v>
      </c>
      <c r="W31" s="174">
        <f>V31*AA31</f>
        <v>147339.16637820593</v>
      </c>
      <c r="X31" s="26">
        <v>0.82379250224319933</v>
      </c>
      <c r="Y31" s="88">
        <v>1.05</v>
      </c>
      <c r="Z31" s="88">
        <v>1.05</v>
      </c>
      <c r="AA31" s="88">
        <v>1.05</v>
      </c>
    </row>
    <row r="32" spans="1:27" s="88" customFormat="1" ht="178.5" customHeight="1">
      <c r="A32" s="8" t="s">
        <v>110</v>
      </c>
      <c r="B32" s="8" t="s">
        <v>9</v>
      </c>
      <c r="C32" s="8" t="s">
        <v>9</v>
      </c>
      <c r="D32" s="62"/>
      <c r="E32" s="77" t="s">
        <v>439</v>
      </c>
      <c r="F32" s="79" t="s">
        <v>443</v>
      </c>
      <c r="G32" s="74" t="s">
        <v>409</v>
      </c>
      <c r="H32" s="75"/>
      <c r="I32" s="75"/>
      <c r="J32" s="75"/>
      <c r="K32" s="75">
        <v>25271</v>
      </c>
      <c r="L32" s="75">
        <v>25271</v>
      </c>
      <c r="M32" s="75">
        <v>25271</v>
      </c>
      <c r="N32" s="75">
        <v>25271</v>
      </c>
      <c r="O32" s="75">
        <v>25271</v>
      </c>
      <c r="P32" s="75"/>
      <c r="Q32" s="75"/>
      <c r="R32" s="177"/>
      <c r="S32" s="78">
        <v>177111.02378999998</v>
      </c>
      <c r="T32" s="174">
        <f t="shared" ref="T32:T39" si="7">S32*X32</f>
        <v>145902.7334628189</v>
      </c>
      <c r="U32" s="174">
        <f>T32*Y32</f>
        <v>153197.87013595985</v>
      </c>
      <c r="V32" s="174">
        <f t="shared" ref="V32:V39" si="8">U32*Z32</f>
        <v>160857.76364275784</v>
      </c>
      <c r="W32" s="174">
        <f t="shared" ref="W32:W39" si="9">V32*AA32</f>
        <v>168900.65182489573</v>
      </c>
      <c r="X32" s="26">
        <v>0.82379250224319933</v>
      </c>
      <c r="Y32" s="88">
        <v>1.05</v>
      </c>
      <c r="Z32" s="88">
        <v>1.05</v>
      </c>
      <c r="AA32" s="88">
        <v>1.05</v>
      </c>
    </row>
    <row r="33" spans="1:29" s="88" customFormat="1" ht="176.25" customHeight="1">
      <c r="A33" s="8" t="s">
        <v>110</v>
      </c>
      <c r="B33" s="8" t="s">
        <v>9</v>
      </c>
      <c r="C33" s="8" t="s">
        <v>9</v>
      </c>
      <c r="D33" s="62"/>
      <c r="E33" s="64" t="s">
        <v>440</v>
      </c>
      <c r="F33" s="79" t="s">
        <v>443</v>
      </c>
      <c r="G33" s="74" t="s">
        <v>409</v>
      </c>
      <c r="H33" s="75"/>
      <c r="I33" s="75"/>
      <c r="J33" s="75"/>
      <c r="K33" s="75">
        <f>19359+K38+K39</f>
        <v>20803</v>
      </c>
      <c r="L33" s="75">
        <f>19359+L38+L39</f>
        <v>20803</v>
      </c>
      <c r="M33" s="75">
        <f>19359+M38+M39</f>
        <v>20803</v>
      </c>
      <c r="N33" s="75">
        <f>19359+N38+N39</f>
        <v>20803</v>
      </c>
      <c r="O33" s="75">
        <f>19359+O38+O39</f>
        <v>20803</v>
      </c>
      <c r="P33" s="75"/>
      <c r="Q33" s="75"/>
      <c r="R33" s="177"/>
      <c r="S33" s="78">
        <f>351724.38718+S38+S39</f>
        <v>352729.81988000002</v>
      </c>
      <c r="T33" s="174">
        <f>S33*X33+T38+T39</f>
        <v>291404.44885450834</v>
      </c>
      <c r="U33" s="174">
        <f>T33*Y33+U38+U39</f>
        <v>306844.3526129924</v>
      </c>
      <c r="V33" s="174">
        <f>U33*Z33+V38+V39</f>
        <v>323099.73562518862</v>
      </c>
      <c r="W33" s="174">
        <f>V33*AA33+W38+W39</f>
        <v>340213.54605707194</v>
      </c>
      <c r="X33" s="26">
        <v>0.82379250224319933</v>
      </c>
      <c r="Y33" s="88">
        <v>1.05</v>
      </c>
      <c r="Z33" s="88">
        <v>1.05</v>
      </c>
      <c r="AA33" s="88">
        <v>1.05</v>
      </c>
    </row>
    <row r="34" spans="1:29" s="88" customFormat="1" ht="51">
      <c r="A34" s="8" t="s">
        <v>110</v>
      </c>
      <c r="B34" s="8" t="s">
        <v>9</v>
      </c>
      <c r="C34" s="8" t="s">
        <v>9</v>
      </c>
      <c r="D34" s="62"/>
      <c r="E34" s="114" t="s">
        <v>466</v>
      </c>
      <c r="F34" s="79" t="s">
        <v>444</v>
      </c>
      <c r="G34" s="64" t="s">
        <v>445</v>
      </c>
      <c r="H34" s="75"/>
      <c r="I34" s="75"/>
      <c r="J34" s="75"/>
      <c r="K34" s="75">
        <v>12</v>
      </c>
      <c r="L34" s="75">
        <v>12</v>
      </c>
      <c r="M34" s="75">
        <v>12</v>
      </c>
      <c r="N34" s="75">
        <v>12</v>
      </c>
      <c r="O34" s="75">
        <v>12</v>
      </c>
      <c r="P34" s="75"/>
      <c r="Q34" s="75"/>
      <c r="R34" s="177"/>
      <c r="S34" s="78">
        <v>220.08123000000001</v>
      </c>
      <c r="T34" s="174">
        <f t="shared" si="7"/>
        <v>181.30126715846106</v>
      </c>
      <c r="U34" s="174">
        <f t="shared" ref="U34:U39" si="10">T34*Y34</f>
        <v>190.36633051638412</v>
      </c>
      <c r="V34" s="174">
        <f t="shared" si="8"/>
        <v>199.88464704220334</v>
      </c>
      <c r="W34" s="174">
        <f t="shared" si="9"/>
        <v>209.87887939431351</v>
      </c>
      <c r="X34" s="26">
        <v>0.82379250224319933</v>
      </c>
      <c r="Y34" s="88">
        <v>1.05</v>
      </c>
      <c r="Z34" s="88">
        <v>1.05</v>
      </c>
      <c r="AA34" s="88">
        <v>1.05</v>
      </c>
    </row>
    <row r="35" spans="1:29" s="88" customFormat="1" ht="63.75">
      <c r="A35" s="8" t="s">
        <v>110</v>
      </c>
      <c r="B35" s="8" t="s">
        <v>9</v>
      </c>
      <c r="C35" s="8" t="s">
        <v>9</v>
      </c>
      <c r="D35" s="113"/>
      <c r="E35" s="114" t="s">
        <v>467</v>
      </c>
      <c r="F35" s="134" t="s">
        <v>444</v>
      </c>
      <c r="G35" s="184" t="s">
        <v>445</v>
      </c>
      <c r="H35" s="75"/>
      <c r="I35" s="75"/>
      <c r="J35" s="75"/>
      <c r="K35" s="75">
        <v>18</v>
      </c>
      <c r="L35" s="75">
        <v>18</v>
      </c>
      <c r="M35" s="75">
        <v>18</v>
      </c>
      <c r="N35" s="75">
        <v>18</v>
      </c>
      <c r="O35" s="75">
        <v>18</v>
      </c>
      <c r="P35" s="75"/>
      <c r="Q35" s="75"/>
      <c r="R35" s="177"/>
      <c r="S35" s="78">
        <v>461.57840999999996</v>
      </c>
      <c r="T35" s="174">
        <f t="shared" si="7"/>
        <v>380.24483335533733</v>
      </c>
      <c r="U35" s="174">
        <f t="shared" si="10"/>
        <v>399.25707502310422</v>
      </c>
      <c r="V35" s="174">
        <f t="shared" si="8"/>
        <v>419.21992877425947</v>
      </c>
      <c r="W35" s="174">
        <f t="shared" si="9"/>
        <v>440.18092521297245</v>
      </c>
      <c r="X35" s="26">
        <v>0.82379250224319933</v>
      </c>
      <c r="Y35" s="88">
        <v>1.05</v>
      </c>
      <c r="Z35" s="88">
        <v>1.05</v>
      </c>
      <c r="AA35" s="88">
        <v>1.05</v>
      </c>
    </row>
    <row r="36" spans="1:29" s="88" customFormat="1" ht="51">
      <c r="A36" s="8" t="s">
        <v>110</v>
      </c>
      <c r="B36" s="8" t="s">
        <v>9</v>
      </c>
      <c r="C36" s="8" t="s">
        <v>9</v>
      </c>
      <c r="D36" s="113"/>
      <c r="E36" s="114" t="s">
        <v>468</v>
      </c>
      <c r="F36" s="134" t="s">
        <v>444</v>
      </c>
      <c r="G36" s="184" t="s">
        <v>445</v>
      </c>
      <c r="H36" s="75"/>
      <c r="I36" s="75"/>
      <c r="J36" s="75"/>
      <c r="K36" s="75">
        <v>8</v>
      </c>
      <c r="L36" s="75">
        <v>8</v>
      </c>
      <c r="M36" s="75">
        <v>8</v>
      </c>
      <c r="N36" s="75">
        <v>8</v>
      </c>
      <c r="O36" s="75">
        <v>8</v>
      </c>
      <c r="P36" s="75"/>
      <c r="Q36" s="75"/>
      <c r="R36" s="177"/>
      <c r="S36" s="78">
        <v>190.53966</v>
      </c>
      <c r="T36" s="174">
        <f t="shared" si="7"/>
        <v>156.96514328796843</v>
      </c>
      <c r="U36" s="174">
        <f t="shared" si="10"/>
        <v>164.81340045236686</v>
      </c>
      <c r="V36" s="174">
        <f t="shared" si="8"/>
        <v>173.05407047498522</v>
      </c>
      <c r="W36" s="174">
        <f t="shared" si="9"/>
        <v>181.70677399873449</v>
      </c>
      <c r="X36" s="26">
        <v>0.82379250224319933</v>
      </c>
      <c r="Y36" s="88">
        <v>1.05</v>
      </c>
      <c r="Z36" s="88">
        <v>1.05</v>
      </c>
      <c r="AA36" s="88">
        <v>1.05</v>
      </c>
    </row>
    <row r="37" spans="1:29" s="88" customFormat="1" ht="51">
      <c r="A37" s="8" t="s">
        <v>110</v>
      </c>
      <c r="B37" s="8" t="s">
        <v>9</v>
      </c>
      <c r="C37" s="8" t="s">
        <v>9</v>
      </c>
      <c r="D37" s="113"/>
      <c r="E37" s="114" t="s">
        <v>469</v>
      </c>
      <c r="F37" s="134" t="s">
        <v>444</v>
      </c>
      <c r="G37" s="184" t="s">
        <v>445</v>
      </c>
      <c r="H37" s="75"/>
      <c r="I37" s="75"/>
      <c r="J37" s="75"/>
      <c r="K37" s="75">
        <v>8</v>
      </c>
      <c r="L37" s="75">
        <v>8</v>
      </c>
      <c r="M37" s="75">
        <v>8</v>
      </c>
      <c r="N37" s="75">
        <v>8</v>
      </c>
      <c r="O37" s="75">
        <v>8</v>
      </c>
      <c r="P37" s="75"/>
      <c r="Q37" s="75"/>
      <c r="R37" s="177"/>
      <c r="S37" s="78">
        <v>190.53966</v>
      </c>
      <c r="T37" s="174">
        <f t="shared" si="7"/>
        <v>156.96514328796843</v>
      </c>
      <c r="U37" s="174">
        <f t="shared" si="10"/>
        <v>164.81340045236686</v>
      </c>
      <c r="V37" s="174">
        <f t="shared" si="8"/>
        <v>173.05407047498522</v>
      </c>
      <c r="W37" s="174">
        <f t="shared" si="9"/>
        <v>181.70677399873449</v>
      </c>
      <c r="X37" s="26">
        <v>0.82379250224319933</v>
      </c>
      <c r="Y37" s="88">
        <v>1.05</v>
      </c>
      <c r="Z37" s="88">
        <v>1.05</v>
      </c>
      <c r="AA37" s="88">
        <v>1.05</v>
      </c>
    </row>
    <row r="38" spans="1:29" s="121" customFormat="1" ht="76.5" hidden="1">
      <c r="A38" s="50" t="s">
        <v>110</v>
      </c>
      <c r="B38" s="50" t="s">
        <v>9</v>
      </c>
      <c r="C38" s="50" t="s">
        <v>9</v>
      </c>
      <c r="D38" s="181"/>
      <c r="E38" s="123" t="s">
        <v>441</v>
      </c>
      <c r="F38" s="124" t="s">
        <v>446</v>
      </c>
      <c r="G38" s="125" t="s">
        <v>409</v>
      </c>
      <c r="H38" s="119"/>
      <c r="I38" s="119"/>
      <c r="J38" s="119"/>
      <c r="K38" s="119">
        <v>1300</v>
      </c>
      <c r="L38" s="119">
        <v>1300</v>
      </c>
      <c r="M38" s="119">
        <v>1300</v>
      </c>
      <c r="N38" s="119">
        <v>1300</v>
      </c>
      <c r="O38" s="119">
        <v>1300</v>
      </c>
      <c r="P38" s="119"/>
      <c r="Q38" s="119"/>
      <c r="R38" s="52"/>
      <c r="S38" s="138">
        <v>850.75075000000004</v>
      </c>
      <c r="T38" s="182">
        <f t="shared" si="7"/>
        <v>700.84208912777854</v>
      </c>
      <c r="U38" s="182">
        <f t="shared" si="10"/>
        <v>735.88419358416752</v>
      </c>
      <c r="V38" s="182">
        <f t="shared" si="8"/>
        <v>772.67840326337591</v>
      </c>
      <c r="W38" s="182">
        <f t="shared" si="9"/>
        <v>811.31232342654471</v>
      </c>
      <c r="X38" s="183">
        <v>0.82379250224319933</v>
      </c>
      <c r="Y38" s="121">
        <v>1.05</v>
      </c>
      <c r="Z38" s="121">
        <v>1.05</v>
      </c>
      <c r="AA38" s="121">
        <v>1.05</v>
      </c>
    </row>
    <row r="39" spans="1:29" s="121" customFormat="1" ht="89.25" hidden="1">
      <c r="A39" s="50" t="s">
        <v>110</v>
      </c>
      <c r="B39" s="50" t="s">
        <v>9</v>
      </c>
      <c r="C39" s="50" t="s">
        <v>9</v>
      </c>
      <c r="D39" s="181"/>
      <c r="E39" s="123" t="s">
        <v>442</v>
      </c>
      <c r="F39" s="124" t="s">
        <v>447</v>
      </c>
      <c r="G39" s="125" t="s">
        <v>409</v>
      </c>
      <c r="H39" s="119"/>
      <c r="I39" s="119"/>
      <c r="J39" s="119"/>
      <c r="K39" s="119">
        <v>144</v>
      </c>
      <c r="L39" s="119">
        <v>144</v>
      </c>
      <c r="M39" s="119">
        <v>144</v>
      </c>
      <c r="N39" s="119">
        <v>144</v>
      </c>
      <c r="O39" s="119">
        <v>144</v>
      </c>
      <c r="P39" s="119"/>
      <c r="Q39" s="119"/>
      <c r="R39" s="52"/>
      <c r="S39" s="138">
        <v>154.68195</v>
      </c>
      <c r="T39" s="182">
        <f t="shared" si="7"/>
        <v>127.42583064235745</v>
      </c>
      <c r="U39" s="182">
        <f t="shared" si="10"/>
        <v>133.79712217447533</v>
      </c>
      <c r="V39" s="182">
        <f t="shared" si="8"/>
        <v>140.48697828319911</v>
      </c>
      <c r="W39" s="182">
        <f t="shared" si="9"/>
        <v>147.51132719735907</v>
      </c>
      <c r="X39" s="183">
        <v>0.82379250224319933</v>
      </c>
      <c r="Y39" s="121">
        <v>1.05</v>
      </c>
      <c r="Z39" s="121">
        <v>1.05</v>
      </c>
      <c r="AA39" s="121">
        <v>1.05</v>
      </c>
    </row>
    <row r="40" spans="1:29" s="94" customFormat="1" ht="51">
      <c r="A40" s="63"/>
      <c r="B40" s="63"/>
      <c r="C40" s="63"/>
      <c r="D40" s="24"/>
      <c r="E40" s="95" t="s">
        <v>411</v>
      </c>
      <c r="F40" s="79" t="s">
        <v>412</v>
      </c>
      <c r="G40" s="81" t="s">
        <v>409</v>
      </c>
      <c r="H40" s="82">
        <v>2700</v>
      </c>
      <c r="I40" s="82">
        <v>3192</v>
      </c>
      <c r="J40" s="82">
        <v>575</v>
      </c>
      <c r="K40" s="82"/>
      <c r="L40" s="82"/>
      <c r="M40" s="82"/>
      <c r="N40" s="82"/>
      <c r="O40" s="82"/>
      <c r="P40" s="83">
        <v>7143</v>
      </c>
      <c r="Q40" s="83">
        <v>7000.9</v>
      </c>
      <c r="R40" s="32">
        <f>'ресурсн обеспечен'!L96</f>
        <v>7849.5</v>
      </c>
      <c r="S40" s="32"/>
      <c r="T40" s="32"/>
      <c r="U40" s="32"/>
      <c r="V40" s="32"/>
      <c r="W40" s="32"/>
      <c r="X40" s="96"/>
      <c r="Y40" s="97"/>
    </row>
    <row r="41" spans="1:29" s="94" customFormat="1" ht="38.25">
      <c r="A41" s="63"/>
      <c r="B41" s="63"/>
      <c r="C41" s="63"/>
      <c r="D41" s="8"/>
      <c r="E41" s="80" t="s">
        <v>413</v>
      </c>
      <c r="F41" s="79" t="s">
        <v>414</v>
      </c>
      <c r="G41" s="81" t="s">
        <v>409</v>
      </c>
      <c r="H41" s="82">
        <v>52</v>
      </c>
      <c r="I41" s="82">
        <v>19359</v>
      </c>
      <c r="J41" s="30">
        <v>2386</v>
      </c>
      <c r="K41" s="30"/>
      <c r="L41" s="30"/>
      <c r="M41" s="30"/>
      <c r="N41" s="30"/>
      <c r="O41" s="30"/>
      <c r="P41" s="83">
        <v>19063.3</v>
      </c>
      <c r="Q41" s="83">
        <v>184716.2</v>
      </c>
      <c r="R41" s="32">
        <f>'ресурсн обеспечен'!L169</f>
        <v>145145.5</v>
      </c>
      <c r="S41" s="32"/>
      <c r="T41" s="32"/>
      <c r="U41" s="32"/>
      <c r="V41" s="32"/>
      <c r="W41" s="32"/>
    </row>
    <row r="42" spans="1:29" s="94" customFormat="1" ht="51">
      <c r="A42" s="63"/>
      <c r="B42" s="63"/>
      <c r="C42" s="63"/>
      <c r="D42" s="8"/>
      <c r="E42" s="80" t="s">
        <v>415</v>
      </c>
      <c r="F42" s="79" t="s">
        <v>416</v>
      </c>
      <c r="G42" s="81" t="s">
        <v>409</v>
      </c>
      <c r="H42" s="82">
        <v>124</v>
      </c>
      <c r="I42" s="82">
        <v>124</v>
      </c>
      <c r="J42" s="30">
        <v>1488</v>
      </c>
      <c r="K42" s="30"/>
      <c r="L42" s="30"/>
      <c r="M42" s="30"/>
      <c r="N42" s="30"/>
      <c r="O42" s="30"/>
      <c r="P42" s="83">
        <v>40988.800000000003</v>
      </c>
      <c r="Q42" s="83">
        <v>45674.9</v>
      </c>
      <c r="R42" s="32">
        <f>'ресурсн обеспечен'!L170</f>
        <v>44415</v>
      </c>
      <c r="S42" s="32"/>
      <c r="T42" s="32"/>
      <c r="U42" s="32"/>
      <c r="V42" s="32"/>
      <c r="W42" s="32"/>
    </row>
    <row r="43" spans="1:29" s="94" customFormat="1" ht="38.25">
      <c r="A43" s="63"/>
      <c r="B43" s="63"/>
      <c r="C43" s="63"/>
      <c r="D43" s="8"/>
      <c r="E43" s="80" t="s">
        <v>417</v>
      </c>
      <c r="F43" s="79" t="s">
        <v>418</v>
      </c>
      <c r="G43" s="81" t="s">
        <v>409</v>
      </c>
      <c r="H43" s="84">
        <v>362</v>
      </c>
      <c r="I43" s="84">
        <v>362</v>
      </c>
      <c r="J43" s="84">
        <v>362</v>
      </c>
      <c r="K43" s="84"/>
      <c r="L43" s="84"/>
      <c r="M43" s="84"/>
      <c r="N43" s="84"/>
      <c r="O43" s="84"/>
      <c r="P43" s="83">
        <v>49977.4</v>
      </c>
      <c r="Q43" s="83">
        <v>64886.7</v>
      </c>
      <c r="R43" s="32">
        <f>'ресурсн обеспечен'!L172</f>
        <v>58967.1</v>
      </c>
      <c r="S43" s="32"/>
      <c r="T43" s="32"/>
      <c r="U43" s="32"/>
      <c r="V43" s="32"/>
      <c r="W43" s="32"/>
    </row>
    <row r="44" spans="1:29" s="94" customFormat="1" ht="38.25">
      <c r="A44" s="63"/>
      <c r="B44" s="63"/>
      <c r="C44" s="63"/>
      <c r="D44" s="8"/>
      <c r="E44" s="80" t="s">
        <v>419</v>
      </c>
      <c r="F44" s="79" t="s">
        <v>418</v>
      </c>
      <c r="G44" s="81" t="s">
        <v>409</v>
      </c>
      <c r="H44" s="82">
        <v>2534</v>
      </c>
      <c r="I44" s="84">
        <v>2557</v>
      </c>
      <c r="J44" s="30">
        <v>2534</v>
      </c>
      <c r="K44" s="30"/>
      <c r="L44" s="30"/>
      <c r="M44" s="30"/>
      <c r="N44" s="30"/>
      <c r="O44" s="30"/>
      <c r="P44" s="83">
        <v>344485.5</v>
      </c>
      <c r="Q44" s="83">
        <v>380903.2</v>
      </c>
      <c r="R44" s="32">
        <f>'ресурсн обеспечен'!L173</f>
        <v>370261.6</v>
      </c>
      <c r="S44" s="32"/>
      <c r="T44" s="32"/>
      <c r="U44" s="32"/>
      <c r="V44" s="32"/>
      <c r="W44" s="32"/>
    </row>
    <row r="45" spans="1:29" s="94" customFormat="1" ht="51">
      <c r="A45" s="63"/>
      <c r="B45" s="63"/>
      <c r="C45" s="63"/>
      <c r="D45" s="63"/>
      <c r="E45" s="80" t="s">
        <v>420</v>
      </c>
      <c r="F45" s="79" t="s">
        <v>421</v>
      </c>
      <c r="G45" s="81" t="s">
        <v>409</v>
      </c>
      <c r="H45" s="82">
        <v>352</v>
      </c>
      <c r="I45" s="82">
        <v>352</v>
      </c>
      <c r="J45" s="82">
        <v>352</v>
      </c>
      <c r="K45" s="82"/>
      <c r="L45" s="82"/>
      <c r="M45" s="82"/>
      <c r="N45" s="82"/>
      <c r="O45" s="82"/>
      <c r="P45" s="83">
        <v>115133.9</v>
      </c>
      <c r="Q45" s="83">
        <v>123273.2</v>
      </c>
      <c r="R45" s="32">
        <f>'ресурсн обеспечен'!L174</f>
        <v>122834</v>
      </c>
      <c r="S45" s="32"/>
      <c r="T45" s="32"/>
      <c r="U45" s="32"/>
      <c r="V45" s="32"/>
      <c r="W45" s="32"/>
    </row>
    <row r="46" spans="1:29" s="94" customFormat="1" ht="76.5">
      <c r="A46" s="501"/>
      <c r="B46" s="501"/>
      <c r="C46" s="501"/>
      <c r="D46" s="501"/>
      <c r="E46" s="505" t="s">
        <v>422</v>
      </c>
      <c r="F46" s="79" t="s">
        <v>423</v>
      </c>
      <c r="G46" s="81" t="s">
        <v>409</v>
      </c>
      <c r="H46" s="82">
        <v>250</v>
      </c>
      <c r="I46" s="85">
        <v>190</v>
      </c>
      <c r="J46" s="82">
        <v>40</v>
      </c>
      <c r="K46" s="82"/>
      <c r="L46" s="82"/>
      <c r="M46" s="82"/>
      <c r="N46" s="82"/>
      <c r="O46" s="82"/>
      <c r="P46" s="83">
        <v>35951.1</v>
      </c>
      <c r="Q46" s="83">
        <v>38727</v>
      </c>
      <c r="R46" s="683">
        <f>'ресурсн обеспечен'!L175</f>
        <v>40711.699999999997</v>
      </c>
      <c r="S46" s="683"/>
      <c r="T46" s="683"/>
      <c r="U46" s="683"/>
      <c r="V46" s="683"/>
      <c r="W46" s="683"/>
      <c r="X46" s="96"/>
      <c r="Y46" s="97"/>
      <c r="Z46" s="97"/>
      <c r="AA46" s="97"/>
      <c r="AB46" s="97"/>
      <c r="AC46" s="97"/>
    </row>
    <row r="47" spans="1:29" s="94" customFormat="1" ht="63.75">
      <c r="A47" s="527"/>
      <c r="B47" s="527"/>
      <c r="C47" s="527"/>
      <c r="D47" s="527"/>
      <c r="E47" s="515"/>
      <c r="F47" s="79" t="s">
        <v>424</v>
      </c>
      <c r="G47" s="81" t="s">
        <v>409</v>
      </c>
      <c r="H47" s="82"/>
      <c r="I47" s="85"/>
      <c r="J47" s="82">
        <v>150</v>
      </c>
      <c r="K47" s="82"/>
      <c r="L47" s="82"/>
      <c r="M47" s="82"/>
      <c r="N47" s="82"/>
      <c r="O47" s="82"/>
      <c r="P47" s="83"/>
      <c r="Q47" s="83"/>
      <c r="R47" s="684"/>
      <c r="S47" s="684"/>
      <c r="T47" s="684"/>
      <c r="U47" s="684"/>
      <c r="V47" s="684"/>
      <c r="W47" s="684"/>
      <c r="X47" s="96"/>
      <c r="Y47" s="97"/>
      <c r="Z47" s="97"/>
      <c r="AA47" s="97"/>
      <c r="AB47" s="97"/>
      <c r="AC47" s="97"/>
    </row>
    <row r="48" spans="1:29" s="94" customFormat="1" ht="76.5">
      <c r="A48" s="502"/>
      <c r="B48" s="502"/>
      <c r="C48" s="502"/>
      <c r="D48" s="502"/>
      <c r="E48" s="506"/>
      <c r="F48" s="79" t="s">
        <v>425</v>
      </c>
      <c r="G48" s="81" t="s">
        <v>409</v>
      </c>
      <c r="H48" s="82"/>
      <c r="I48" s="85"/>
      <c r="J48" s="82">
        <v>60</v>
      </c>
      <c r="K48" s="82"/>
      <c r="L48" s="82"/>
      <c r="M48" s="82"/>
      <c r="N48" s="82"/>
      <c r="O48" s="82"/>
      <c r="P48" s="83"/>
      <c r="Q48" s="83"/>
      <c r="R48" s="685"/>
      <c r="S48" s="685"/>
      <c r="T48" s="685"/>
      <c r="U48" s="685"/>
      <c r="V48" s="685"/>
      <c r="W48" s="685"/>
      <c r="X48" s="96"/>
      <c r="Y48" s="97"/>
      <c r="Z48" s="97"/>
      <c r="AA48" s="97"/>
      <c r="AB48" s="97"/>
      <c r="AC48" s="97"/>
    </row>
    <row r="49" spans="1:29" s="94" customFormat="1" ht="38.25">
      <c r="A49" s="63"/>
      <c r="B49" s="63"/>
      <c r="C49" s="63"/>
      <c r="D49" s="63"/>
      <c r="E49" s="80" t="s">
        <v>426</v>
      </c>
      <c r="F49" s="79" t="s">
        <v>418</v>
      </c>
      <c r="G49" s="81" t="s">
        <v>409</v>
      </c>
      <c r="H49" s="82">
        <v>50</v>
      </c>
      <c r="I49" s="85">
        <v>48</v>
      </c>
      <c r="J49" s="82">
        <v>600</v>
      </c>
      <c r="K49" s="82"/>
      <c r="L49" s="82"/>
      <c r="M49" s="82"/>
      <c r="N49" s="82"/>
      <c r="O49" s="82"/>
      <c r="P49" s="83">
        <v>6901.6</v>
      </c>
      <c r="Q49" s="83">
        <v>9908.5</v>
      </c>
      <c r="R49" s="32">
        <f>'ресурсн обеспечен'!L176</f>
        <v>10043.299999999999</v>
      </c>
      <c r="S49" s="32"/>
      <c r="T49" s="32"/>
      <c r="U49" s="32"/>
      <c r="V49" s="32"/>
      <c r="W49" s="32"/>
      <c r="X49" s="96"/>
      <c r="Y49" s="97"/>
      <c r="Z49" s="97"/>
      <c r="AA49" s="97"/>
      <c r="AB49" s="97"/>
      <c r="AC49" s="97"/>
    </row>
    <row r="50" spans="1:29" s="94" customFormat="1" ht="51">
      <c r="A50" s="63"/>
      <c r="B50" s="63"/>
      <c r="C50" s="63"/>
      <c r="D50" s="63"/>
      <c r="E50" s="80" t="s">
        <v>427</v>
      </c>
      <c r="F50" s="79" t="s">
        <v>428</v>
      </c>
      <c r="G50" s="81" t="s">
        <v>409</v>
      </c>
      <c r="H50" s="82">
        <v>0</v>
      </c>
      <c r="I50" s="82">
        <v>22097</v>
      </c>
      <c r="J50" s="30">
        <v>0</v>
      </c>
      <c r="K50" s="30"/>
      <c r="L50" s="30"/>
      <c r="M50" s="82"/>
      <c r="N50" s="82"/>
      <c r="O50" s="82"/>
      <c r="P50" s="83"/>
      <c r="Q50" s="83">
        <v>22061</v>
      </c>
      <c r="R50" s="32">
        <v>0</v>
      </c>
      <c r="S50" s="32"/>
      <c r="T50" s="32"/>
      <c r="U50" s="32"/>
      <c r="V50" s="32"/>
      <c r="W50" s="32"/>
      <c r="X50" s="96"/>
      <c r="Y50" s="97"/>
      <c r="Z50" s="97"/>
      <c r="AA50" s="97"/>
      <c r="AB50" s="97"/>
      <c r="AC50" s="97"/>
    </row>
    <row r="51" spans="1:29" s="94" customFormat="1" ht="51">
      <c r="A51" s="63"/>
      <c r="B51" s="63"/>
      <c r="C51" s="63"/>
      <c r="D51" s="63"/>
      <c r="E51" s="80" t="s">
        <v>429</v>
      </c>
      <c r="F51" s="79" t="s">
        <v>430</v>
      </c>
      <c r="G51" s="81" t="s">
        <v>409</v>
      </c>
      <c r="H51" s="82">
        <v>0</v>
      </c>
      <c r="I51" s="82">
        <v>302228</v>
      </c>
      <c r="J51" s="30">
        <v>36277</v>
      </c>
      <c r="K51" s="30"/>
      <c r="L51" s="30"/>
      <c r="M51" s="30"/>
      <c r="N51" s="30"/>
      <c r="O51" s="30"/>
      <c r="P51" s="83"/>
      <c r="Q51" s="83">
        <v>642526.80000000005</v>
      </c>
      <c r="R51" s="32">
        <f>'ресурсн обеспечен'!L177</f>
        <v>668638.1</v>
      </c>
      <c r="S51" s="32"/>
      <c r="T51" s="32"/>
      <c r="U51" s="32"/>
      <c r="V51" s="32"/>
      <c r="W51" s="32"/>
    </row>
    <row r="52" spans="1:29" s="94" customFormat="1" ht="38.25">
      <c r="A52" s="63"/>
      <c r="B52" s="63"/>
      <c r="C52" s="63"/>
      <c r="D52" s="63"/>
      <c r="E52" s="80" t="s">
        <v>168</v>
      </c>
      <c r="F52" s="79" t="s">
        <v>431</v>
      </c>
      <c r="G52" s="81" t="s">
        <v>409</v>
      </c>
      <c r="H52" s="82"/>
      <c r="I52" s="82"/>
      <c r="J52" s="30">
        <v>20107</v>
      </c>
      <c r="K52" s="30"/>
      <c r="L52" s="30"/>
      <c r="M52" s="30"/>
      <c r="N52" s="30"/>
      <c r="O52" s="30"/>
      <c r="P52" s="83"/>
      <c r="Q52" s="83"/>
      <c r="R52" s="32">
        <f>'ресурсн обеспечен'!L178</f>
        <v>11371.1</v>
      </c>
      <c r="S52" s="32"/>
      <c r="T52" s="32"/>
      <c r="U52" s="32"/>
      <c r="V52" s="32"/>
      <c r="W52" s="32"/>
    </row>
    <row r="53" spans="1:29" s="94" customFormat="1" ht="38.25">
      <c r="A53" s="63"/>
      <c r="B53" s="63"/>
      <c r="C53" s="63"/>
      <c r="D53" s="63"/>
      <c r="E53" s="80" t="s">
        <v>169</v>
      </c>
      <c r="F53" s="79" t="s">
        <v>431</v>
      </c>
      <c r="G53" s="81" t="s">
        <v>409</v>
      </c>
      <c r="H53" s="82"/>
      <c r="I53" s="82"/>
      <c r="J53" s="30">
        <v>4250</v>
      </c>
      <c r="K53" s="30"/>
      <c r="L53" s="30"/>
      <c r="M53" s="30"/>
      <c r="N53" s="30"/>
      <c r="O53" s="30"/>
      <c r="P53" s="83"/>
      <c r="Q53" s="83"/>
      <c r="R53" s="32">
        <f>'ресурсн обеспечен'!L179</f>
        <v>3257.1</v>
      </c>
      <c r="S53" s="32"/>
      <c r="T53" s="32"/>
      <c r="U53" s="32"/>
      <c r="V53" s="32"/>
      <c r="W53" s="32"/>
    </row>
    <row r="54" spans="1:29" s="88" customFormat="1" ht="41.25" customHeight="1">
      <c r="A54" s="693" t="s">
        <v>449</v>
      </c>
      <c r="B54" s="693"/>
      <c r="C54" s="693"/>
      <c r="D54" s="693"/>
      <c r="E54" s="693"/>
      <c r="F54" s="693"/>
      <c r="G54" s="693"/>
      <c r="H54" s="693"/>
      <c r="I54" s="693"/>
      <c r="J54" s="693"/>
      <c r="K54" s="693"/>
      <c r="L54" s="693"/>
      <c r="M54" s="693"/>
      <c r="N54" s="693"/>
      <c r="O54" s="693"/>
      <c r="P54" s="693"/>
      <c r="Q54" s="693"/>
      <c r="R54" s="693"/>
    </row>
    <row r="55" spans="1:29" s="88" customFormat="1" ht="12.75">
      <c r="A55" s="89"/>
      <c r="B55" s="89"/>
      <c r="C55" s="89"/>
      <c r="D55" s="90"/>
      <c r="E55" s="91"/>
      <c r="P55" s="92"/>
      <c r="Q55" s="92"/>
      <c r="R55" s="180"/>
    </row>
    <row r="56" spans="1:29" s="88" customFormat="1" ht="12.75">
      <c r="A56" s="93"/>
      <c r="B56" s="93"/>
      <c r="C56" s="93"/>
      <c r="E56" s="94"/>
      <c r="R56" s="94"/>
    </row>
    <row r="57" spans="1:29" s="88" customFormat="1" ht="12.75">
      <c r="A57" s="93"/>
      <c r="B57" s="93"/>
      <c r="C57" s="93"/>
      <c r="E57" s="94"/>
      <c r="R57" s="94"/>
    </row>
    <row r="58" spans="1:29" s="88" customFormat="1" ht="12.75">
      <c r="A58" s="93"/>
      <c r="B58" s="93"/>
      <c r="C58" s="93"/>
      <c r="E58" s="94"/>
      <c r="R58" s="94"/>
    </row>
    <row r="59" spans="1:29" s="88" customFormat="1" ht="12.75">
      <c r="A59" s="93"/>
      <c r="B59" s="93"/>
      <c r="C59" s="93"/>
      <c r="E59" s="94"/>
      <c r="R59" s="94"/>
    </row>
    <row r="60" spans="1:29" ht="15.75">
      <c r="F60" s="67"/>
    </row>
  </sheetData>
  <mergeCells count="30">
    <mergeCell ref="F14:W14"/>
    <mergeCell ref="A16:D16"/>
    <mergeCell ref="E16:E17"/>
    <mergeCell ref="F16:F17"/>
    <mergeCell ref="G16:G17"/>
    <mergeCell ref="H16:O16"/>
    <mergeCell ref="P16:W16"/>
    <mergeCell ref="A54:R54"/>
    <mergeCell ref="A46:A48"/>
    <mergeCell ref="B46:B48"/>
    <mergeCell ref="C46:C48"/>
    <mergeCell ref="D46:D48"/>
    <mergeCell ref="E46:E48"/>
    <mergeCell ref="R46:R48"/>
    <mergeCell ref="S1:W1"/>
    <mergeCell ref="S2:W2"/>
    <mergeCell ref="S46:S48"/>
    <mergeCell ref="T46:T48"/>
    <mergeCell ref="U46:U48"/>
    <mergeCell ref="V46:V48"/>
    <mergeCell ref="W46:W48"/>
    <mergeCell ref="F12:W12"/>
    <mergeCell ref="F11:W11"/>
    <mergeCell ref="J4:R4"/>
    <mergeCell ref="S4:W4"/>
    <mergeCell ref="J6:R6"/>
    <mergeCell ref="S6:W6"/>
    <mergeCell ref="A9:W9"/>
    <mergeCell ref="A13:E13"/>
    <mergeCell ref="F13:W13"/>
  </mergeCells>
  <pageMargins left="0.27559055118110237" right="0.15748031496062992" top="0.49" bottom="0.35433070866141736" header="0.24" footer="0.31496062992125984"/>
  <pageSetup paperSize="9" scale="65" fitToHeight="6" orientation="landscape" r:id="rId1"/>
  <headerFooter differentFirst="1">
    <oddHeader>&amp;C&amp;P</oddHeader>
  </headerFooter>
</worksheet>
</file>

<file path=xl/worksheets/sheet9.xml><?xml version="1.0" encoding="utf-8"?>
<worksheet xmlns="http://schemas.openxmlformats.org/spreadsheetml/2006/main" xmlns:r="http://schemas.openxmlformats.org/officeDocument/2006/relationships">
  <sheetPr>
    <pageSetUpPr fitToPage="1"/>
  </sheetPr>
  <dimension ref="A1:U237"/>
  <sheetViews>
    <sheetView topLeftCell="A16" zoomScale="90" zoomScaleNormal="90" zoomScalePageLayoutView="80" workbookViewId="0">
      <pane xSplit="5" ySplit="2" topLeftCell="F24" activePane="bottomRight" state="frozen"/>
      <selection activeCell="A16" sqref="A16"/>
      <selection pane="topRight" activeCell="F16" sqref="F16"/>
      <selection pane="bottomLeft" activeCell="A18" sqref="A18"/>
      <selection pane="bottomRight" activeCell="M51" sqref="M51"/>
    </sheetView>
  </sheetViews>
  <sheetFormatPr defaultColWidth="9.140625" defaultRowHeight="15.75"/>
  <cols>
    <col min="1" max="1" width="5.7109375" style="26" customWidth="1"/>
    <col min="2" max="2" width="6" style="26" customWidth="1"/>
    <col min="3" max="3" width="6.5703125" style="26" customWidth="1"/>
    <col min="4" max="4" width="9.42578125" style="18" customWidth="1"/>
    <col min="5" max="5" width="46.42578125" style="43" customWidth="1"/>
    <col min="6" max="6" width="31.5703125" style="43" customWidth="1"/>
    <col min="7" max="7" width="9.140625" style="26"/>
    <col min="8" max="9" width="9.140625" style="26" customWidth="1"/>
    <col min="10" max="10" width="16.7109375" style="25" customWidth="1"/>
    <col min="11" max="11" width="9.140625" style="26"/>
    <col min="12" max="12" width="14.28515625" style="13" customWidth="1"/>
    <col min="13" max="13" width="13.5703125" style="19" bestFit="1" customWidth="1"/>
    <col min="14" max="14" width="14" style="26" customWidth="1"/>
    <col min="15" max="15" width="13.140625" style="26" customWidth="1"/>
    <col min="16" max="17" width="12.42578125" style="26" bestFit="1" customWidth="1"/>
    <col min="18" max="18" width="16" style="26" hidden="1" customWidth="1"/>
    <col min="19" max="19" width="16.140625" style="26" hidden="1" customWidth="1"/>
    <col min="20" max="20" width="14.5703125" style="26" hidden="1" customWidth="1"/>
    <col min="21" max="21" width="15.140625" style="26" hidden="1" customWidth="1"/>
    <col min="22" max="31" width="0" style="26" hidden="1" customWidth="1"/>
    <col min="32" max="16384" width="9.140625" style="26"/>
  </cols>
  <sheetData>
    <row r="1" spans="1:17">
      <c r="N1" s="653" t="s">
        <v>40</v>
      </c>
      <c r="O1" s="653"/>
      <c r="P1" s="653"/>
      <c r="Q1" s="653"/>
    </row>
    <row r="2" spans="1:17" ht="49.5" customHeight="1">
      <c r="N2" s="653" t="s">
        <v>452</v>
      </c>
      <c r="O2" s="653"/>
      <c r="P2" s="653"/>
      <c r="Q2" s="653"/>
    </row>
    <row r="4" spans="1:17">
      <c r="A4" s="25"/>
      <c r="B4" s="25"/>
      <c r="C4" s="25"/>
      <c r="N4" s="654" t="s">
        <v>451</v>
      </c>
      <c r="O4" s="654"/>
      <c r="P4" s="654"/>
      <c r="Q4" s="654"/>
    </row>
    <row r="5" spans="1:17">
      <c r="A5" s="25"/>
      <c r="B5" s="25"/>
      <c r="C5" s="25"/>
      <c r="O5" s="20"/>
      <c r="P5" s="14"/>
      <c r="Q5" s="14"/>
    </row>
    <row r="6" spans="1:17" ht="53.25" customHeight="1">
      <c r="A6" s="25"/>
      <c r="B6" s="25"/>
      <c r="C6" s="25"/>
      <c r="N6" s="653" t="s">
        <v>179</v>
      </c>
      <c r="O6" s="653"/>
      <c r="P6" s="653"/>
      <c r="Q6" s="653"/>
    </row>
    <row r="7" spans="1:17">
      <c r="A7" s="25"/>
      <c r="B7" s="25"/>
      <c r="C7" s="25"/>
      <c r="E7" s="47"/>
      <c r="F7" s="47"/>
      <c r="G7" s="154"/>
      <c r="H7" s="154"/>
      <c r="I7" s="154"/>
      <c r="J7" s="27"/>
    </row>
    <row r="8" spans="1:17">
      <c r="A8" s="25"/>
      <c r="B8" s="25"/>
      <c r="C8" s="25"/>
      <c r="E8" s="47"/>
      <c r="F8" s="47"/>
      <c r="G8" s="154"/>
      <c r="H8" s="154"/>
      <c r="I8" s="154"/>
      <c r="J8" s="27"/>
    </row>
    <row r="9" spans="1:17" ht="15.75" customHeight="1">
      <c r="A9" s="655" t="s">
        <v>188</v>
      </c>
      <c r="B9" s="655"/>
      <c r="C9" s="655"/>
      <c r="D9" s="655"/>
      <c r="E9" s="655"/>
      <c r="F9" s="655"/>
      <c r="G9" s="655"/>
      <c r="H9" s="655"/>
      <c r="I9" s="655"/>
      <c r="J9" s="655"/>
      <c r="K9" s="655"/>
      <c r="L9" s="655"/>
      <c r="M9" s="655"/>
      <c r="N9" s="655"/>
      <c r="O9" s="655"/>
      <c r="P9" s="655"/>
      <c r="Q9" s="655"/>
    </row>
    <row r="10" spans="1:17">
      <c r="A10" s="25"/>
      <c r="B10" s="25"/>
      <c r="C10" s="25"/>
      <c r="E10" s="47"/>
      <c r="F10" s="47"/>
      <c r="G10" s="154"/>
      <c r="H10" s="154"/>
      <c r="I10" s="154"/>
      <c r="J10" s="27"/>
      <c r="K10" s="172"/>
    </row>
    <row r="11" spans="1:17" ht="15.75" customHeight="1">
      <c r="A11" s="21" t="s">
        <v>0</v>
      </c>
      <c r="B11" s="21"/>
      <c r="C11" s="21"/>
      <c r="D11" s="22"/>
      <c r="E11" s="155"/>
      <c r="F11" s="652" t="s">
        <v>180</v>
      </c>
      <c r="G11" s="652"/>
      <c r="H11" s="652"/>
      <c r="I11" s="652"/>
      <c r="J11" s="652"/>
      <c r="K11" s="652"/>
      <c r="L11" s="652"/>
      <c r="M11" s="652"/>
      <c r="N11" s="652"/>
      <c r="O11" s="652"/>
      <c r="P11" s="652"/>
      <c r="Q11" s="652"/>
    </row>
    <row r="12" spans="1:17" ht="15.75" customHeight="1">
      <c r="A12" s="25"/>
      <c r="B12" s="25"/>
      <c r="C12" s="25"/>
      <c r="F12" s="656" t="s">
        <v>1</v>
      </c>
      <c r="G12" s="656"/>
      <c r="H12" s="656"/>
      <c r="I12" s="656"/>
      <c r="J12" s="656"/>
      <c r="K12" s="656"/>
      <c r="L12" s="656"/>
      <c r="M12" s="656"/>
      <c r="N12" s="656"/>
      <c r="O12" s="656"/>
      <c r="P12" s="656"/>
      <c r="Q12" s="656"/>
    </row>
    <row r="13" spans="1:17" ht="15.75" customHeight="1">
      <c r="A13" s="534" t="s">
        <v>11</v>
      </c>
      <c r="B13" s="534"/>
      <c r="C13" s="534"/>
      <c r="D13" s="534"/>
      <c r="E13" s="534"/>
      <c r="F13" s="652" t="s">
        <v>111</v>
      </c>
      <c r="G13" s="652"/>
      <c r="H13" s="652"/>
      <c r="I13" s="652"/>
      <c r="J13" s="652"/>
      <c r="K13" s="652"/>
      <c r="L13" s="652"/>
      <c r="M13" s="652"/>
      <c r="N13" s="652"/>
      <c r="O13" s="652"/>
      <c r="P13" s="652"/>
      <c r="Q13" s="652"/>
    </row>
    <row r="14" spans="1:17" ht="15.75" customHeight="1">
      <c r="A14" s="25"/>
      <c r="B14" s="25"/>
      <c r="C14" s="25"/>
      <c r="E14" s="47"/>
      <c r="F14" s="656" t="s">
        <v>2</v>
      </c>
      <c r="G14" s="656"/>
      <c r="H14" s="656"/>
      <c r="I14" s="656"/>
      <c r="J14" s="656"/>
      <c r="K14" s="656"/>
      <c r="L14" s="656"/>
      <c r="M14" s="656"/>
      <c r="N14" s="656"/>
      <c r="O14" s="656"/>
      <c r="P14" s="656"/>
      <c r="Q14" s="656"/>
    </row>
    <row r="15" spans="1:17">
      <c r="A15" s="25"/>
      <c r="B15" s="25"/>
      <c r="C15" s="25"/>
      <c r="E15" s="47"/>
      <c r="F15" s="47"/>
      <c r="G15" s="9"/>
      <c r="H15" s="9"/>
      <c r="I15" s="9"/>
      <c r="J15" s="23"/>
      <c r="K15" s="9"/>
    </row>
    <row r="16" spans="1:17" ht="34.5" customHeight="1">
      <c r="A16" s="533" t="s">
        <v>3</v>
      </c>
      <c r="B16" s="533"/>
      <c r="C16" s="533"/>
      <c r="D16" s="533"/>
      <c r="E16" s="657" t="s">
        <v>41</v>
      </c>
      <c r="F16" s="659" t="s">
        <v>62</v>
      </c>
      <c r="G16" s="661" t="s">
        <v>42</v>
      </c>
      <c r="H16" s="661"/>
      <c r="I16" s="661"/>
      <c r="J16" s="662"/>
      <c r="K16" s="662"/>
      <c r="L16" s="663"/>
      <c r="M16" s="663"/>
      <c r="N16" s="663"/>
      <c r="O16" s="663"/>
      <c r="P16" s="663"/>
      <c r="Q16" s="663"/>
    </row>
    <row r="17" spans="1:19" ht="40.5" customHeight="1">
      <c r="A17" s="4" t="s">
        <v>4</v>
      </c>
      <c r="B17" s="4" t="s">
        <v>5</v>
      </c>
      <c r="C17" s="4" t="s">
        <v>12</v>
      </c>
      <c r="D17" s="11" t="s">
        <v>13</v>
      </c>
      <c r="E17" s="658"/>
      <c r="F17" s="660"/>
      <c r="G17" s="145" t="s">
        <v>43</v>
      </c>
      <c r="H17" s="145" t="s">
        <v>44</v>
      </c>
      <c r="I17" s="5" t="s">
        <v>45</v>
      </c>
      <c r="J17" s="5" t="s">
        <v>46</v>
      </c>
      <c r="K17" s="167" t="s">
        <v>47</v>
      </c>
      <c r="L17" s="176" t="s">
        <v>39</v>
      </c>
      <c r="M17" s="153" t="s">
        <v>83</v>
      </c>
      <c r="N17" s="153" t="s">
        <v>84</v>
      </c>
      <c r="O17" s="153" t="s">
        <v>85</v>
      </c>
      <c r="P17" s="153" t="s">
        <v>86</v>
      </c>
      <c r="Q17" s="153" t="s">
        <v>87</v>
      </c>
    </row>
    <row r="18" spans="1:19" ht="15">
      <c r="A18" s="501" t="s">
        <v>110</v>
      </c>
      <c r="B18" s="509"/>
      <c r="C18" s="509"/>
      <c r="D18" s="511"/>
      <c r="E18" s="505" t="s">
        <v>498</v>
      </c>
      <c r="F18" s="1" t="s">
        <v>48</v>
      </c>
      <c r="G18" s="6"/>
      <c r="H18" s="6"/>
      <c r="I18" s="8"/>
      <c r="J18" s="8"/>
      <c r="K18" s="6"/>
      <c r="L18" s="30">
        <f>L19+L21+L20+L22+L23+L24</f>
        <v>7685015.4900000012</v>
      </c>
      <c r="M18" s="30">
        <f>M19+M21+M20+M22</f>
        <v>7751558.0000000009</v>
      </c>
      <c r="N18" s="30">
        <f>N19+N21+N20+N22</f>
        <v>6643899.4999999991</v>
      </c>
      <c r="O18" s="30">
        <f>O19+O21+O20+O22</f>
        <v>6976094.5200000005</v>
      </c>
      <c r="P18" s="30">
        <f>P19+P21+P20+P22</f>
        <v>7324899.2109999992</v>
      </c>
      <c r="Q18" s="30">
        <f>Q19+Q21+Q20+Q22-26.3</f>
        <v>7691144.1499000005</v>
      </c>
      <c r="S18" s="56"/>
    </row>
    <row r="19" spans="1:19" ht="38.25">
      <c r="A19" s="527"/>
      <c r="B19" s="510"/>
      <c r="C19" s="510"/>
      <c r="D19" s="512"/>
      <c r="E19" s="515"/>
      <c r="F19" s="1" t="s">
        <v>112</v>
      </c>
      <c r="G19" s="6">
        <v>843</v>
      </c>
      <c r="H19" s="6"/>
      <c r="I19" s="8"/>
      <c r="J19" s="8"/>
      <c r="K19" s="6"/>
      <c r="L19" s="30">
        <f t="shared" ref="L19:Q19" si="0">L26+L79+L128+L220</f>
        <v>7627379.5899999999</v>
      </c>
      <c r="M19" s="30">
        <f t="shared" si="0"/>
        <v>7694247.3000000007</v>
      </c>
      <c r="N19" s="30">
        <f t="shared" si="0"/>
        <v>6604721.9999999991</v>
      </c>
      <c r="O19" s="30">
        <f t="shared" si="0"/>
        <v>6934958.1450000005</v>
      </c>
      <c r="P19" s="30">
        <f t="shared" si="0"/>
        <v>7281706.0172499996</v>
      </c>
      <c r="Q19" s="30">
        <f t="shared" si="0"/>
        <v>7645817.5964625003</v>
      </c>
      <c r="R19" s="111">
        <v>7627379.5999999996</v>
      </c>
      <c r="S19" s="112">
        <f>R19-L19</f>
        <v>9.9999997764825821E-3</v>
      </c>
    </row>
    <row r="20" spans="1:19" ht="25.5">
      <c r="A20" s="527"/>
      <c r="B20" s="510"/>
      <c r="C20" s="510"/>
      <c r="D20" s="512"/>
      <c r="E20" s="515"/>
      <c r="F20" s="1" t="s">
        <v>120</v>
      </c>
      <c r="G20" s="6">
        <v>855</v>
      </c>
      <c r="H20" s="6"/>
      <c r="I20" s="8"/>
      <c r="J20" s="8"/>
      <c r="K20" s="6"/>
      <c r="L20" s="30">
        <f>L80+L131</f>
        <v>32124.400000000001</v>
      </c>
      <c r="M20" s="30">
        <f>M80</f>
        <v>57310.7</v>
      </c>
      <c r="N20" s="30">
        <f>N80</f>
        <v>38353.300000000003</v>
      </c>
      <c r="O20" s="30">
        <f>O80</f>
        <v>40270.965000000004</v>
      </c>
      <c r="P20" s="30">
        <f>P80</f>
        <v>42284.513250000004</v>
      </c>
      <c r="Q20" s="30">
        <f>Q80</f>
        <v>44398.738912500005</v>
      </c>
      <c r="R20" s="56"/>
      <c r="S20" s="56"/>
    </row>
    <row r="21" spans="1:19" ht="38.25">
      <c r="A21" s="527"/>
      <c r="B21" s="510"/>
      <c r="C21" s="510"/>
      <c r="D21" s="512"/>
      <c r="E21" s="515"/>
      <c r="F21" s="1" t="s">
        <v>172</v>
      </c>
      <c r="G21" s="6">
        <v>835</v>
      </c>
      <c r="H21" s="6"/>
      <c r="I21" s="8"/>
      <c r="J21" s="8"/>
      <c r="K21" s="6"/>
      <c r="L21" s="30">
        <f t="shared" ref="L21:Q21" si="1">L81+L129</f>
        <v>7351.4000000000005</v>
      </c>
      <c r="M21" s="30">
        <f t="shared" si="1"/>
        <v>0</v>
      </c>
      <c r="N21" s="30">
        <f t="shared" si="1"/>
        <v>824.2</v>
      </c>
      <c r="O21" s="30">
        <f t="shared" si="1"/>
        <v>865.41000000000008</v>
      </c>
      <c r="P21" s="30">
        <f t="shared" si="1"/>
        <v>908.68050000000017</v>
      </c>
      <c r="Q21" s="30">
        <f t="shared" si="1"/>
        <v>954.11452500000019</v>
      </c>
    </row>
    <row r="22" spans="1:19" ht="25.5">
      <c r="A22" s="527"/>
      <c r="B22" s="510"/>
      <c r="C22" s="510"/>
      <c r="D22" s="512"/>
      <c r="E22" s="515"/>
      <c r="F22" s="1" t="s">
        <v>187</v>
      </c>
      <c r="G22" s="6">
        <v>874</v>
      </c>
      <c r="H22" s="48"/>
      <c r="I22" s="48"/>
      <c r="J22" s="48"/>
      <c r="K22" s="48"/>
      <c r="L22" s="30">
        <f>L205+L206</f>
        <v>5000</v>
      </c>
      <c r="M22" s="30">
        <f>M205</f>
        <v>0</v>
      </c>
      <c r="N22" s="30">
        <f>N205</f>
        <v>0</v>
      </c>
      <c r="O22" s="30">
        <f>O205</f>
        <v>0</v>
      </c>
      <c r="P22" s="30">
        <f>P205</f>
        <v>0</v>
      </c>
      <c r="Q22" s="30">
        <f>Q205</f>
        <v>0</v>
      </c>
    </row>
    <row r="23" spans="1:19" ht="51">
      <c r="A23" s="527"/>
      <c r="B23" s="510"/>
      <c r="C23" s="510"/>
      <c r="D23" s="512"/>
      <c r="E23" s="515"/>
      <c r="F23" s="10" t="s">
        <v>456</v>
      </c>
      <c r="G23" s="6">
        <v>847</v>
      </c>
      <c r="H23" s="48"/>
      <c r="I23" s="48"/>
      <c r="J23" s="48"/>
      <c r="K23" s="48"/>
      <c r="L23" s="30">
        <f>L130</f>
        <v>6622.2</v>
      </c>
      <c r="M23" s="30">
        <v>0</v>
      </c>
      <c r="N23" s="30">
        <v>0</v>
      </c>
      <c r="O23" s="30">
        <v>0</v>
      </c>
      <c r="P23" s="30">
        <v>0</v>
      </c>
      <c r="Q23" s="30">
        <v>0</v>
      </c>
    </row>
    <row r="24" spans="1:19" ht="25.5">
      <c r="A24" s="527"/>
      <c r="B24" s="510"/>
      <c r="C24" s="510"/>
      <c r="D24" s="512"/>
      <c r="E24" s="515"/>
      <c r="F24" s="46" t="s">
        <v>459</v>
      </c>
      <c r="G24" s="6"/>
      <c r="H24" s="48"/>
      <c r="I24" s="48"/>
      <c r="J24" s="48"/>
      <c r="K24" s="48"/>
      <c r="L24" s="30">
        <f>L132</f>
        <v>6537.9</v>
      </c>
      <c r="M24" s="30">
        <v>0</v>
      </c>
      <c r="N24" s="30">
        <v>0</v>
      </c>
      <c r="O24" s="30">
        <v>0</v>
      </c>
      <c r="P24" s="30">
        <v>0</v>
      </c>
      <c r="Q24" s="30">
        <v>0</v>
      </c>
    </row>
    <row r="25" spans="1:19" ht="15" customHeight="1">
      <c r="A25" s="501" t="s">
        <v>110</v>
      </c>
      <c r="B25" s="501" t="s">
        <v>7</v>
      </c>
      <c r="C25" s="501"/>
      <c r="D25" s="503"/>
      <c r="E25" s="505" t="s">
        <v>60</v>
      </c>
      <c r="F25" s="1" t="s">
        <v>48</v>
      </c>
      <c r="G25" s="6" t="s">
        <v>49</v>
      </c>
      <c r="H25" s="6"/>
      <c r="I25" s="8"/>
      <c r="J25" s="8"/>
      <c r="K25" s="6"/>
      <c r="L25" s="30">
        <f t="shared" ref="L25:Q25" si="2">L26</f>
        <v>3796137.6</v>
      </c>
      <c r="M25" s="30">
        <f t="shared" si="2"/>
        <v>3928488.7</v>
      </c>
      <c r="N25" s="30">
        <f t="shared" si="2"/>
        <v>3619828.6999999997</v>
      </c>
      <c r="O25" s="30">
        <f t="shared" si="2"/>
        <v>3800820.13</v>
      </c>
      <c r="P25" s="30">
        <f t="shared" si="2"/>
        <v>3990861.1414999999</v>
      </c>
      <c r="Q25" s="30">
        <f t="shared" si="2"/>
        <v>4190404.1988375001</v>
      </c>
    </row>
    <row r="26" spans="1:19" ht="38.25">
      <c r="A26" s="502"/>
      <c r="B26" s="502"/>
      <c r="C26" s="502"/>
      <c r="D26" s="504"/>
      <c r="E26" s="506"/>
      <c r="F26" s="1" t="s">
        <v>112</v>
      </c>
      <c r="G26" s="6">
        <v>843</v>
      </c>
      <c r="H26" s="6">
        <v>10</v>
      </c>
      <c r="I26" s="8" t="s">
        <v>8</v>
      </c>
      <c r="J26" s="8" t="s">
        <v>195</v>
      </c>
      <c r="K26" s="170"/>
      <c r="L26" s="30">
        <f>L27+L47+L49+L51+L53</f>
        <v>3796137.6</v>
      </c>
      <c r="M26" s="30">
        <f>M27+M47+M49+M51+M53+M74+M75+M76+M77</f>
        <v>3928488.7</v>
      </c>
      <c r="N26" s="30">
        <f>N27+N47+N49+N51+N53+N74+N75+N76+N77</f>
        <v>3619828.6999999997</v>
      </c>
      <c r="O26" s="30">
        <f>O27+O47+O49+O51+O53+O74+O75+O76+O77</f>
        <v>3800820.13</v>
      </c>
      <c r="P26" s="30">
        <f>P27+P47+P49+P51+P53+P74+P75+P76+P77</f>
        <v>3990861.1414999999</v>
      </c>
      <c r="Q26" s="30">
        <f>Q27+Q47+Q49+Q51+Q53+Q74+Q75+Q76+Q77</f>
        <v>4190404.1988375001</v>
      </c>
      <c r="R26" s="36"/>
    </row>
    <row r="27" spans="1:19" ht="51">
      <c r="A27" s="141" t="s">
        <v>110</v>
      </c>
      <c r="B27" s="141" t="s">
        <v>7</v>
      </c>
      <c r="C27" s="141" t="s">
        <v>7</v>
      </c>
      <c r="D27" s="141"/>
      <c r="E27" s="55" t="s">
        <v>194</v>
      </c>
      <c r="F27" s="1" t="s">
        <v>112</v>
      </c>
      <c r="G27" s="6">
        <v>843</v>
      </c>
      <c r="H27" s="144">
        <v>10</v>
      </c>
      <c r="I27" s="7" t="s">
        <v>8</v>
      </c>
      <c r="J27" s="7" t="s">
        <v>488</v>
      </c>
      <c r="K27" s="170" t="s">
        <v>471</v>
      </c>
      <c r="L27" s="30">
        <f>L28+L29+L30+L31+L32+L33+L34+L35+L36+L37+L38+L39+L40+L41+L42+L43+L44+L45+L46+L67+L68+L69+L70+L71+L72+L73</f>
        <v>3382383.4000000004</v>
      </c>
      <c r="M27" s="30">
        <f>M28+M29+M30+M31+M32+M33+M34+M35+M36+M37+M38+M39+M40+M41+M42+M43+M44+M45+M46+M67+M68+M69+M70+M71+M72+M73</f>
        <v>3550663.6</v>
      </c>
      <c r="N27" s="30">
        <f>N28+N29+N30+N31+N32+N33+N34+N35+N36+N37+N38+N39+N40+N41+N42+N43+N44+N45+N46+N67+N68+N69+N70+N71+N72+N73</f>
        <v>3601436.0999999996</v>
      </c>
      <c r="O27" s="30">
        <v>3781507.9</v>
      </c>
      <c r="P27" s="30">
        <v>3970583.3</v>
      </c>
      <c r="Q27" s="30">
        <f>Q28+Q29+Q30+Q31+Q32+Q33+Q34+Q35+Q36+Q37+Q38+Q39+Q40+Q41+Q42+Q43+Q44+Q45+Q46+Q67+Q68+Q69+Q70+Q71+Q72+Q73</f>
        <v>4169112.4652625001</v>
      </c>
      <c r="R27" s="56"/>
    </row>
    <row r="28" spans="1:19" s="195" customFormat="1" ht="38.25" hidden="1" customHeight="1">
      <c r="A28" s="189" t="s">
        <v>110</v>
      </c>
      <c r="B28" s="189" t="s">
        <v>7</v>
      </c>
      <c r="C28" s="189" t="s">
        <v>7</v>
      </c>
      <c r="D28" s="190" t="s">
        <v>7</v>
      </c>
      <c r="E28" s="200" t="s">
        <v>193</v>
      </c>
      <c r="F28" s="192" t="s">
        <v>112</v>
      </c>
      <c r="G28" s="201">
        <v>843</v>
      </c>
      <c r="H28" s="202">
        <v>10</v>
      </c>
      <c r="I28" s="203" t="s">
        <v>9</v>
      </c>
      <c r="J28" s="197" t="s">
        <v>196</v>
      </c>
      <c r="K28" s="193" t="s">
        <v>370</v>
      </c>
      <c r="L28" s="194">
        <v>566382</v>
      </c>
      <c r="M28" s="204">
        <v>620409.69999999995</v>
      </c>
      <c r="N28" s="194">
        <v>574408.19999999995</v>
      </c>
      <c r="O28" s="194">
        <f t="shared" ref="O28:P43" si="3">N28*1.05</f>
        <v>603128.61</v>
      </c>
      <c r="P28" s="194">
        <f t="shared" si="3"/>
        <v>633285.0405</v>
      </c>
      <c r="Q28" s="194">
        <f>P28*1.05</f>
        <v>664949.29252500006</v>
      </c>
    </row>
    <row r="29" spans="1:19" s="195" customFormat="1" ht="38.25" hidden="1" customHeight="1">
      <c r="A29" s="189" t="s">
        <v>110</v>
      </c>
      <c r="B29" s="189" t="s">
        <v>7</v>
      </c>
      <c r="C29" s="189" t="s">
        <v>7</v>
      </c>
      <c r="D29" s="190" t="s">
        <v>8</v>
      </c>
      <c r="E29" s="200" t="s">
        <v>197</v>
      </c>
      <c r="F29" s="192" t="s">
        <v>112</v>
      </c>
      <c r="G29" s="201">
        <v>843</v>
      </c>
      <c r="H29" s="202">
        <v>10</v>
      </c>
      <c r="I29" s="203" t="s">
        <v>9</v>
      </c>
      <c r="J29" s="197" t="s">
        <v>198</v>
      </c>
      <c r="K29" s="193" t="s">
        <v>370</v>
      </c>
      <c r="L29" s="194">
        <v>87560.5</v>
      </c>
      <c r="M29" s="204">
        <f>82513.5-525.6</f>
        <v>81987.899999999994</v>
      </c>
      <c r="N29" s="194">
        <v>91931.9</v>
      </c>
      <c r="O29" s="194">
        <f t="shared" si="3"/>
        <v>96528.494999999995</v>
      </c>
      <c r="P29" s="194">
        <f>O29*1.05</f>
        <v>101354.91975</v>
      </c>
      <c r="Q29" s="194">
        <f>P29*1.05</f>
        <v>106422.66573750001</v>
      </c>
    </row>
    <row r="30" spans="1:19" s="195" customFormat="1" ht="38.25" hidden="1" customHeight="1">
      <c r="A30" s="189" t="s">
        <v>110</v>
      </c>
      <c r="B30" s="189" t="s">
        <v>7</v>
      </c>
      <c r="C30" s="189" t="s">
        <v>7</v>
      </c>
      <c r="D30" s="190" t="s">
        <v>9</v>
      </c>
      <c r="E30" s="200" t="s">
        <v>199</v>
      </c>
      <c r="F30" s="192" t="s">
        <v>112</v>
      </c>
      <c r="G30" s="201">
        <v>843</v>
      </c>
      <c r="H30" s="202">
        <v>10</v>
      </c>
      <c r="I30" s="203" t="s">
        <v>9</v>
      </c>
      <c r="J30" s="197" t="s">
        <v>200</v>
      </c>
      <c r="K30" s="193" t="s">
        <v>370</v>
      </c>
      <c r="L30" s="194">
        <v>8763.9</v>
      </c>
      <c r="M30" s="204">
        <f>9141.1-125</f>
        <v>9016.1</v>
      </c>
      <c r="N30" s="194">
        <v>9154.7000000000007</v>
      </c>
      <c r="O30" s="194">
        <f>N30*1.05</f>
        <v>9612.4350000000013</v>
      </c>
      <c r="P30" s="194">
        <f>O30*1.05</f>
        <v>10093.056750000002</v>
      </c>
      <c r="Q30" s="194">
        <f t="shared" ref="Q30:Q92" si="4">P30*1.05</f>
        <v>10597.709587500001</v>
      </c>
    </row>
    <row r="31" spans="1:19" s="195" customFormat="1" ht="38.25" hidden="1" customHeight="1">
      <c r="A31" s="189" t="s">
        <v>110</v>
      </c>
      <c r="B31" s="189" t="s">
        <v>7</v>
      </c>
      <c r="C31" s="189" t="s">
        <v>7</v>
      </c>
      <c r="D31" s="190" t="s">
        <v>10</v>
      </c>
      <c r="E31" s="200" t="s">
        <v>201</v>
      </c>
      <c r="F31" s="192" t="s">
        <v>112</v>
      </c>
      <c r="G31" s="201">
        <v>843</v>
      </c>
      <c r="H31" s="202">
        <v>10</v>
      </c>
      <c r="I31" s="203" t="s">
        <v>9</v>
      </c>
      <c r="J31" s="197" t="s">
        <v>202</v>
      </c>
      <c r="K31" s="193" t="s">
        <v>370</v>
      </c>
      <c r="L31" s="194">
        <v>1275749</v>
      </c>
      <c r="M31" s="204">
        <v>1385488.9</v>
      </c>
      <c r="N31" s="194">
        <v>1268809.8999999999</v>
      </c>
      <c r="O31" s="194">
        <f>N31*1.05</f>
        <v>1332250.395</v>
      </c>
      <c r="P31" s="194">
        <f>O31*1.05</f>
        <v>1398862.91475</v>
      </c>
      <c r="Q31" s="194">
        <f t="shared" si="4"/>
        <v>1468806.0604875002</v>
      </c>
    </row>
    <row r="32" spans="1:19" s="195" customFormat="1" ht="38.25" hidden="1" customHeight="1">
      <c r="A32" s="189" t="s">
        <v>110</v>
      </c>
      <c r="B32" s="189" t="s">
        <v>7</v>
      </c>
      <c r="C32" s="189" t="s">
        <v>7</v>
      </c>
      <c r="D32" s="190" t="s">
        <v>33</v>
      </c>
      <c r="E32" s="200" t="s">
        <v>203</v>
      </c>
      <c r="F32" s="192" t="s">
        <v>112</v>
      </c>
      <c r="G32" s="201">
        <v>843</v>
      </c>
      <c r="H32" s="202">
        <v>10</v>
      </c>
      <c r="I32" s="203" t="s">
        <v>9</v>
      </c>
      <c r="J32" s="197" t="s">
        <v>204</v>
      </c>
      <c r="K32" s="193" t="s">
        <v>370</v>
      </c>
      <c r="L32" s="194">
        <v>12016.2</v>
      </c>
      <c r="M32" s="204">
        <f>14724.6-535.5</f>
        <v>14189.1</v>
      </c>
      <c r="N32" s="194">
        <v>13546.3</v>
      </c>
      <c r="O32" s="194">
        <f t="shared" si="3"/>
        <v>14223.615</v>
      </c>
      <c r="P32" s="194">
        <f t="shared" si="3"/>
        <v>14934.795750000001</v>
      </c>
      <c r="Q32" s="194">
        <f t="shared" si="4"/>
        <v>15681.535537500002</v>
      </c>
    </row>
    <row r="33" spans="1:17" ht="38.25" hidden="1" customHeight="1">
      <c r="A33" s="159" t="s">
        <v>110</v>
      </c>
      <c r="B33" s="159" t="s">
        <v>7</v>
      </c>
      <c r="C33" s="159" t="s">
        <v>7</v>
      </c>
      <c r="D33" s="8" t="s">
        <v>25</v>
      </c>
      <c r="E33" s="185" t="s">
        <v>206</v>
      </c>
      <c r="F33" s="1" t="s">
        <v>112</v>
      </c>
      <c r="G33" s="6">
        <v>843</v>
      </c>
      <c r="H33" s="144">
        <v>10</v>
      </c>
      <c r="I33" s="7" t="s">
        <v>9</v>
      </c>
      <c r="J33" s="7" t="s">
        <v>205</v>
      </c>
      <c r="K33" s="170" t="s">
        <v>371</v>
      </c>
      <c r="L33" s="30">
        <v>1218646.2</v>
      </c>
      <c r="M33" s="205">
        <v>1186824.3999999999</v>
      </c>
      <c r="N33" s="30">
        <f>17000+6000+1337215.2</f>
        <v>1360215.2</v>
      </c>
      <c r="O33" s="30">
        <f t="shared" si="3"/>
        <v>1428225.96</v>
      </c>
      <c r="P33" s="30">
        <f t="shared" si="3"/>
        <v>1499637.2579999999</v>
      </c>
      <c r="Q33" s="30">
        <f t="shared" si="4"/>
        <v>1574619.1209</v>
      </c>
    </row>
    <row r="34" spans="1:17" ht="38.25" hidden="1" customHeight="1">
      <c r="A34" s="159" t="s">
        <v>110</v>
      </c>
      <c r="B34" s="159" t="s">
        <v>7</v>
      </c>
      <c r="C34" s="159" t="s">
        <v>7</v>
      </c>
      <c r="D34" s="8" t="s">
        <v>6</v>
      </c>
      <c r="E34" s="160" t="s">
        <v>207</v>
      </c>
      <c r="F34" s="1" t="s">
        <v>112</v>
      </c>
      <c r="G34" s="6">
        <v>843</v>
      </c>
      <c r="H34" s="144">
        <v>10</v>
      </c>
      <c r="I34" s="7" t="s">
        <v>9</v>
      </c>
      <c r="J34" s="7" t="s">
        <v>208</v>
      </c>
      <c r="K34" s="170" t="s">
        <v>370</v>
      </c>
      <c r="L34" s="30">
        <v>52797.4</v>
      </c>
      <c r="M34" s="187">
        <v>53070.2</v>
      </c>
      <c r="N34" s="30">
        <v>59351.1</v>
      </c>
      <c r="O34" s="30">
        <f t="shared" si="3"/>
        <v>62318.654999999999</v>
      </c>
      <c r="P34" s="30">
        <f t="shared" si="3"/>
        <v>65434.587749999999</v>
      </c>
      <c r="Q34" s="30">
        <f t="shared" si="4"/>
        <v>68706.317137499995</v>
      </c>
    </row>
    <row r="35" spans="1:17" s="195" customFormat="1" ht="38.25" hidden="1" customHeight="1">
      <c r="A35" s="189" t="s">
        <v>110</v>
      </c>
      <c r="B35" s="189" t="s">
        <v>7</v>
      </c>
      <c r="C35" s="189" t="s">
        <v>7</v>
      </c>
      <c r="D35" s="190" t="s">
        <v>34</v>
      </c>
      <c r="E35" s="200" t="s">
        <v>209</v>
      </c>
      <c r="F35" s="192" t="s">
        <v>112</v>
      </c>
      <c r="G35" s="201">
        <v>843</v>
      </c>
      <c r="H35" s="202">
        <v>10</v>
      </c>
      <c r="I35" s="203" t="s">
        <v>9</v>
      </c>
      <c r="J35" s="197" t="s">
        <v>210</v>
      </c>
      <c r="K35" s="193">
        <v>320</v>
      </c>
      <c r="L35" s="194"/>
      <c r="M35" s="204">
        <v>10000</v>
      </c>
      <c r="N35" s="194">
        <v>64435.5</v>
      </c>
      <c r="O35" s="194">
        <f t="shared" si="3"/>
        <v>67657.275000000009</v>
      </c>
      <c r="P35" s="194">
        <f t="shared" si="3"/>
        <v>71040.138750000013</v>
      </c>
      <c r="Q35" s="194">
        <f t="shared" si="4"/>
        <v>74592.145687500015</v>
      </c>
    </row>
    <row r="36" spans="1:17" s="195" customFormat="1" ht="38.25" hidden="1" customHeight="1">
      <c r="A36" s="189" t="s">
        <v>110</v>
      </c>
      <c r="B36" s="189" t="s">
        <v>7</v>
      </c>
      <c r="C36" s="189" t="s">
        <v>7</v>
      </c>
      <c r="D36" s="190" t="s">
        <v>35</v>
      </c>
      <c r="E36" s="200" t="s">
        <v>211</v>
      </c>
      <c r="F36" s="192" t="s">
        <v>112</v>
      </c>
      <c r="G36" s="201">
        <v>843</v>
      </c>
      <c r="H36" s="202">
        <v>10</v>
      </c>
      <c r="I36" s="203" t="s">
        <v>9</v>
      </c>
      <c r="J36" s="197" t="s">
        <v>212</v>
      </c>
      <c r="K36" s="193">
        <v>310</v>
      </c>
      <c r="L36" s="194">
        <v>6127.1</v>
      </c>
      <c r="M36" s="204">
        <v>7758</v>
      </c>
      <c r="N36" s="194">
        <v>7750.2</v>
      </c>
      <c r="O36" s="194">
        <f t="shared" si="3"/>
        <v>8137.71</v>
      </c>
      <c r="P36" s="194">
        <f t="shared" si="3"/>
        <v>8544.5955000000013</v>
      </c>
      <c r="Q36" s="194">
        <f t="shared" si="4"/>
        <v>8971.8252750000011</v>
      </c>
    </row>
    <row r="37" spans="1:17" s="195" customFormat="1" ht="38.25" hidden="1" customHeight="1">
      <c r="A37" s="189" t="s">
        <v>110</v>
      </c>
      <c r="B37" s="189" t="s">
        <v>7</v>
      </c>
      <c r="C37" s="189" t="s">
        <v>7</v>
      </c>
      <c r="D37" s="190" t="s">
        <v>51</v>
      </c>
      <c r="E37" s="200" t="s">
        <v>213</v>
      </c>
      <c r="F37" s="192" t="s">
        <v>112</v>
      </c>
      <c r="G37" s="201">
        <v>843</v>
      </c>
      <c r="H37" s="202">
        <v>10</v>
      </c>
      <c r="I37" s="203" t="s">
        <v>9</v>
      </c>
      <c r="J37" s="197" t="s">
        <v>214</v>
      </c>
      <c r="K37" s="193" t="s">
        <v>370</v>
      </c>
      <c r="L37" s="194"/>
      <c r="M37" s="204">
        <f>23051.2-5618</f>
        <v>17433.2</v>
      </c>
      <c r="N37" s="194">
        <v>19453.400000000001</v>
      </c>
      <c r="O37" s="194">
        <f t="shared" si="3"/>
        <v>20426.070000000003</v>
      </c>
      <c r="P37" s="194">
        <f t="shared" si="3"/>
        <v>21447.373500000005</v>
      </c>
      <c r="Q37" s="194">
        <f t="shared" si="4"/>
        <v>22519.742175000007</v>
      </c>
    </row>
    <row r="38" spans="1:17" s="195" customFormat="1" ht="38.25" hidden="1" customHeight="1">
      <c r="A38" s="189" t="s">
        <v>110</v>
      </c>
      <c r="B38" s="189" t="s">
        <v>7</v>
      </c>
      <c r="C38" s="189" t="s">
        <v>7</v>
      </c>
      <c r="D38" s="190" t="s">
        <v>68</v>
      </c>
      <c r="E38" s="200" t="s">
        <v>216</v>
      </c>
      <c r="F38" s="192" t="s">
        <v>112</v>
      </c>
      <c r="G38" s="201">
        <v>843</v>
      </c>
      <c r="H38" s="202">
        <v>10</v>
      </c>
      <c r="I38" s="203" t="s">
        <v>9</v>
      </c>
      <c r="J38" s="197" t="s">
        <v>215</v>
      </c>
      <c r="K38" s="193" t="s">
        <v>370</v>
      </c>
      <c r="L38" s="194"/>
      <c r="M38" s="204">
        <f>5919.3-524</f>
        <v>5395.3</v>
      </c>
      <c r="N38" s="194">
        <v>4881.8999999999996</v>
      </c>
      <c r="O38" s="194">
        <f t="shared" si="3"/>
        <v>5125.9949999999999</v>
      </c>
      <c r="P38" s="194">
        <f t="shared" si="3"/>
        <v>5382.29475</v>
      </c>
      <c r="Q38" s="194">
        <f t="shared" si="4"/>
        <v>5651.4094875000001</v>
      </c>
    </row>
    <row r="39" spans="1:17" s="195" customFormat="1" ht="38.25" hidden="1" customHeight="1">
      <c r="A39" s="189" t="s">
        <v>110</v>
      </c>
      <c r="B39" s="189" t="s">
        <v>7</v>
      </c>
      <c r="C39" s="189" t="s">
        <v>7</v>
      </c>
      <c r="D39" s="190" t="s">
        <v>69</v>
      </c>
      <c r="E39" s="200" t="s">
        <v>217</v>
      </c>
      <c r="F39" s="192" t="s">
        <v>112</v>
      </c>
      <c r="G39" s="201">
        <v>843</v>
      </c>
      <c r="H39" s="202">
        <v>10</v>
      </c>
      <c r="I39" s="203" t="s">
        <v>9</v>
      </c>
      <c r="J39" s="197" t="s">
        <v>218</v>
      </c>
      <c r="K39" s="193" t="s">
        <v>370</v>
      </c>
      <c r="L39" s="194"/>
      <c r="M39" s="204">
        <v>585.1</v>
      </c>
      <c r="N39" s="194">
        <v>524.70000000000005</v>
      </c>
      <c r="O39" s="194">
        <f t="shared" si="3"/>
        <v>550.93500000000006</v>
      </c>
      <c r="P39" s="194">
        <f t="shared" si="3"/>
        <v>578.48175000000003</v>
      </c>
      <c r="Q39" s="194">
        <f t="shared" si="4"/>
        <v>607.40583750000008</v>
      </c>
    </row>
    <row r="40" spans="1:17" s="195" customFormat="1" ht="38.25" hidden="1" customHeight="1">
      <c r="A40" s="189" t="s">
        <v>110</v>
      </c>
      <c r="B40" s="189" t="s">
        <v>7</v>
      </c>
      <c r="C40" s="189" t="s">
        <v>7</v>
      </c>
      <c r="D40" s="190" t="s">
        <v>73</v>
      </c>
      <c r="E40" s="200" t="s">
        <v>219</v>
      </c>
      <c r="F40" s="192" t="s">
        <v>112</v>
      </c>
      <c r="G40" s="201">
        <v>843</v>
      </c>
      <c r="H40" s="202">
        <v>10</v>
      </c>
      <c r="I40" s="203" t="s">
        <v>51</v>
      </c>
      <c r="J40" s="197" t="s">
        <v>220</v>
      </c>
      <c r="K40" s="193">
        <v>310</v>
      </c>
      <c r="L40" s="194"/>
      <c r="M40" s="204">
        <f>89491.9-4019</f>
        <v>85472.9</v>
      </c>
      <c r="N40" s="194">
        <v>84155.1</v>
      </c>
      <c r="O40" s="194">
        <f t="shared" si="3"/>
        <v>88362.85500000001</v>
      </c>
      <c r="P40" s="194">
        <f t="shared" si="3"/>
        <v>92780.99775000001</v>
      </c>
      <c r="Q40" s="194">
        <f t="shared" si="4"/>
        <v>97420.047637500014</v>
      </c>
    </row>
    <row r="41" spans="1:17" s="195" customFormat="1" ht="38.25" hidden="1" customHeight="1">
      <c r="A41" s="189" t="s">
        <v>110</v>
      </c>
      <c r="B41" s="189" t="s">
        <v>7</v>
      </c>
      <c r="C41" s="189" t="s">
        <v>7</v>
      </c>
      <c r="D41" s="190" t="s">
        <v>75</v>
      </c>
      <c r="E41" s="200" t="s">
        <v>221</v>
      </c>
      <c r="F41" s="192" t="s">
        <v>112</v>
      </c>
      <c r="G41" s="201">
        <v>843</v>
      </c>
      <c r="H41" s="202">
        <v>10</v>
      </c>
      <c r="I41" s="203" t="s">
        <v>8</v>
      </c>
      <c r="J41" s="197" t="s">
        <v>222</v>
      </c>
      <c r="K41" s="193" t="s">
        <v>372</v>
      </c>
      <c r="L41" s="194"/>
      <c r="M41" s="204">
        <v>2386.1999999999998</v>
      </c>
      <c r="N41" s="194">
        <v>2383.8000000000002</v>
      </c>
      <c r="O41" s="194">
        <f t="shared" si="3"/>
        <v>2502.9900000000002</v>
      </c>
      <c r="P41" s="194">
        <f t="shared" si="3"/>
        <v>2628.1395000000002</v>
      </c>
      <c r="Q41" s="194">
        <f t="shared" si="4"/>
        <v>2759.5464750000006</v>
      </c>
    </row>
    <row r="42" spans="1:17" ht="38.25" hidden="1" customHeight="1">
      <c r="A42" s="159" t="s">
        <v>110</v>
      </c>
      <c r="B42" s="159" t="s">
        <v>7</v>
      </c>
      <c r="C42" s="159" t="s">
        <v>7</v>
      </c>
      <c r="D42" s="8" t="s">
        <v>76</v>
      </c>
      <c r="E42" s="148" t="s">
        <v>223</v>
      </c>
      <c r="F42" s="1" t="s">
        <v>112</v>
      </c>
      <c r="G42" s="150">
        <v>843</v>
      </c>
      <c r="H42" s="143">
        <v>10</v>
      </c>
      <c r="I42" s="142" t="s">
        <v>9</v>
      </c>
      <c r="J42" s="7" t="s">
        <v>225</v>
      </c>
      <c r="K42" s="6">
        <v>310</v>
      </c>
      <c r="L42" s="30"/>
      <c r="M42" s="204">
        <f>41311.1-5000-2837</f>
        <v>33474.1</v>
      </c>
      <c r="N42" s="30">
        <v>0</v>
      </c>
      <c r="O42" s="30">
        <f t="shared" si="3"/>
        <v>0</v>
      </c>
      <c r="P42" s="30">
        <f t="shared" si="3"/>
        <v>0</v>
      </c>
      <c r="Q42" s="30">
        <f t="shared" si="4"/>
        <v>0</v>
      </c>
    </row>
    <row r="43" spans="1:17" ht="76.5" hidden="1" customHeight="1">
      <c r="A43" s="159" t="s">
        <v>110</v>
      </c>
      <c r="B43" s="159" t="s">
        <v>7</v>
      </c>
      <c r="C43" s="159" t="s">
        <v>7</v>
      </c>
      <c r="D43" s="8" t="s">
        <v>182</v>
      </c>
      <c r="E43" s="148" t="s">
        <v>224</v>
      </c>
      <c r="F43" s="1" t="s">
        <v>112</v>
      </c>
      <c r="G43" s="150">
        <v>843</v>
      </c>
      <c r="H43" s="143">
        <v>10</v>
      </c>
      <c r="I43" s="142" t="s">
        <v>7</v>
      </c>
      <c r="J43" s="7" t="s">
        <v>226</v>
      </c>
      <c r="K43" s="6">
        <v>310</v>
      </c>
      <c r="L43" s="30"/>
      <c r="M43" s="204">
        <f>520.8-110</f>
        <v>410.79999999999995</v>
      </c>
      <c r="N43" s="30">
        <v>0</v>
      </c>
      <c r="O43" s="30">
        <f t="shared" si="3"/>
        <v>0</v>
      </c>
      <c r="P43" s="30">
        <f t="shared" si="3"/>
        <v>0</v>
      </c>
      <c r="Q43" s="30">
        <f t="shared" si="4"/>
        <v>0</v>
      </c>
    </row>
    <row r="44" spans="1:17" ht="38.25" hidden="1" customHeight="1">
      <c r="A44" s="159" t="s">
        <v>110</v>
      </c>
      <c r="B44" s="159" t="s">
        <v>7</v>
      </c>
      <c r="C44" s="159" t="s">
        <v>7</v>
      </c>
      <c r="D44" s="8" t="s">
        <v>228</v>
      </c>
      <c r="E44" s="148" t="s">
        <v>227</v>
      </c>
      <c r="F44" s="139" t="s">
        <v>112</v>
      </c>
      <c r="G44" s="150">
        <v>843</v>
      </c>
      <c r="H44" s="143">
        <v>10</v>
      </c>
      <c r="I44" s="142" t="s">
        <v>9</v>
      </c>
      <c r="J44" s="7" t="s">
        <v>229</v>
      </c>
      <c r="K44" s="170" t="s">
        <v>373</v>
      </c>
      <c r="L44" s="32">
        <v>35738.9</v>
      </c>
      <c r="M44" s="100">
        <v>36399.1</v>
      </c>
      <c r="N44" s="30">
        <v>40211.800000000003</v>
      </c>
      <c r="O44" s="30">
        <f t="shared" ref="O44:P46" si="5">N44*1.05</f>
        <v>42222.390000000007</v>
      </c>
      <c r="P44" s="30">
        <f t="shared" si="5"/>
        <v>44333.509500000007</v>
      </c>
      <c r="Q44" s="30">
        <f t="shared" si="4"/>
        <v>46550.184975000011</v>
      </c>
    </row>
    <row r="45" spans="1:17" ht="38.25" hidden="1" customHeight="1">
      <c r="A45" s="159" t="s">
        <v>110</v>
      </c>
      <c r="B45" s="159" t="s">
        <v>7</v>
      </c>
      <c r="C45" s="159" t="s">
        <v>7</v>
      </c>
      <c r="D45" s="8" t="s">
        <v>230</v>
      </c>
      <c r="E45" s="148" t="s">
        <v>231</v>
      </c>
      <c r="F45" s="139" t="s">
        <v>112</v>
      </c>
      <c r="G45" s="150">
        <v>843</v>
      </c>
      <c r="H45" s="143">
        <v>10</v>
      </c>
      <c r="I45" s="142" t="s">
        <v>9</v>
      </c>
      <c r="J45" s="7" t="s">
        <v>232</v>
      </c>
      <c r="K45" s="6">
        <v>320</v>
      </c>
      <c r="L45" s="32"/>
      <c r="M45" s="32">
        <f>275.1-14.7</f>
        <v>260.40000000000003</v>
      </c>
      <c r="N45" s="30">
        <v>222.4</v>
      </c>
      <c r="O45" s="30">
        <f t="shared" si="5"/>
        <v>233.52</v>
      </c>
      <c r="P45" s="30">
        <f t="shared" si="5"/>
        <v>245.19600000000003</v>
      </c>
      <c r="Q45" s="30">
        <f t="shared" si="4"/>
        <v>257.45580000000001</v>
      </c>
    </row>
    <row r="46" spans="1:17" ht="38.25" hidden="1" customHeight="1">
      <c r="A46" s="159" t="s">
        <v>110</v>
      </c>
      <c r="B46" s="159" t="s">
        <v>7</v>
      </c>
      <c r="C46" s="159" t="s">
        <v>7</v>
      </c>
      <c r="D46" s="8" t="s">
        <v>365</v>
      </c>
      <c r="E46" s="148" t="s">
        <v>367</v>
      </c>
      <c r="F46" s="139" t="s">
        <v>112</v>
      </c>
      <c r="G46" s="150">
        <v>843</v>
      </c>
      <c r="H46" s="143">
        <v>10</v>
      </c>
      <c r="I46" s="142" t="s">
        <v>9</v>
      </c>
      <c r="J46" s="7" t="s">
        <v>366</v>
      </c>
      <c r="K46" s="6">
        <v>320</v>
      </c>
      <c r="L46" s="32"/>
      <c r="M46" s="32">
        <v>102.2</v>
      </c>
      <c r="N46" s="30">
        <v>0</v>
      </c>
      <c r="O46" s="30">
        <f t="shared" si="5"/>
        <v>0</v>
      </c>
      <c r="P46" s="30">
        <f t="shared" si="5"/>
        <v>0</v>
      </c>
      <c r="Q46" s="30">
        <f t="shared" si="4"/>
        <v>0</v>
      </c>
    </row>
    <row r="47" spans="1:17" ht="38.25" customHeight="1">
      <c r="A47" s="159" t="s">
        <v>110</v>
      </c>
      <c r="B47" s="159" t="s">
        <v>7</v>
      </c>
      <c r="C47" s="159" t="s">
        <v>9</v>
      </c>
      <c r="D47" s="8"/>
      <c r="E47" s="148" t="s">
        <v>233</v>
      </c>
      <c r="F47" s="139" t="s">
        <v>112</v>
      </c>
      <c r="G47" s="150">
        <v>843</v>
      </c>
      <c r="H47" s="143">
        <v>10</v>
      </c>
      <c r="I47" s="142" t="s">
        <v>9</v>
      </c>
      <c r="J47" s="7" t="s">
        <v>235</v>
      </c>
      <c r="K47" s="6">
        <v>320</v>
      </c>
      <c r="L47" s="32">
        <f t="shared" ref="L47:Q47" si="6">L48</f>
        <v>13245</v>
      </c>
      <c r="M47" s="32">
        <f t="shared" si="6"/>
        <v>5965.2</v>
      </c>
      <c r="N47" s="32">
        <f t="shared" si="6"/>
        <v>15484.5</v>
      </c>
      <c r="O47" s="32">
        <f t="shared" si="6"/>
        <v>16258.725</v>
      </c>
      <c r="P47" s="32">
        <f t="shared" si="6"/>
        <v>17071.661250000001</v>
      </c>
      <c r="Q47" s="32">
        <f t="shared" si="6"/>
        <v>17925.244312500003</v>
      </c>
    </row>
    <row r="48" spans="1:17" ht="38.25" hidden="1" customHeight="1">
      <c r="A48" s="159" t="s">
        <v>110</v>
      </c>
      <c r="B48" s="159" t="s">
        <v>7</v>
      </c>
      <c r="C48" s="159" t="s">
        <v>9</v>
      </c>
      <c r="D48" s="8" t="s">
        <v>7</v>
      </c>
      <c r="E48" s="148" t="s">
        <v>234</v>
      </c>
      <c r="F48" s="139" t="s">
        <v>112</v>
      </c>
      <c r="G48" s="150">
        <v>843</v>
      </c>
      <c r="H48" s="143">
        <v>10</v>
      </c>
      <c r="I48" s="142" t="s">
        <v>9</v>
      </c>
      <c r="J48" s="7" t="s">
        <v>236</v>
      </c>
      <c r="K48" s="6">
        <v>320</v>
      </c>
      <c r="L48" s="32">
        <f>L74</f>
        <v>13245</v>
      </c>
      <c r="M48" s="32">
        <f>13000-7034.8</f>
        <v>5965.2</v>
      </c>
      <c r="N48" s="30">
        <v>15484.5</v>
      </c>
      <c r="O48" s="30">
        <f>N48*1.05</f>
        <v>16258.725</v>
      </c>
      <c r="P48" s="30">
        <f>O48*1.05</f>
        <v>17071.661250000001</v>
      </c>
      <c r="Q48" s="30">
        <f t="shared" si="4"/>
        <v>17925.244312500003</v>
      </c>
    </row>
    <row r="49" spans="1:17" ht="38.25" customHeight="1">
      <c r="A49" s="159" t="s">
        <v>110</v>
      </c>
      <c r="B49" s="159" t="s">
        <v>7</v>
      </c>
      <c r="C49" s="159" t="s">
        <v>10</v>
      </c>
      <c r="D49" s="8"/>
      <c r="E49" s="148" t="s">
        <v>238</v>
      </c>
      <c r="F49" s="139" t="s">
        <v>112</v>
      </c>
      <c r="G49" s="150">
        <v>843</v>
      </c>
      <c r="H49" s="143">
        <v>10</v>
      </c>
      <c r="I49" s="142" t="s">
        <v>9</v>
      </c>
      <c r="J49" s="7" t="s">
        <v>239</v>
      </c>
      <c r="K49" s="6">
        <v>320</v>
      </c>
      <c r="L49" s="32">
        <f t="shared" ref="L49:Q49" si="7">L50</f>
        <v>360861.8</v>
      </c>
      <c r="M49" s="32">
        <f t="shared" si="7"/>
        <v>333837.5</v>
      </c>
      <c r="N49" s="32">
        <f t="shared" si="7"/>
        <v>0</v>
      </c>
      <c r="O49" s="32">
        <f t="shared" si="7"/>
        <v>0</v>
      </c>
      <c r="P49" s="32">
        <f t="shared" si="7"/>
        <v>0</v>
      </c>
      <c r="Q49" s="32">
        <f t="shared" si="7"/>
        <v>0</v>
      </c>
    </row>
    <row r="50" spans="1:17" ht="38.25" hidden="1" customHeight="1">
      <c r="A50" s="159" t="s">
        <v>110</v>
      </c>
      <c r="B50" s="159" t="s">
        <v>7</v>
      </c>
      <c r="C50" s="159" t="s">
        <v>10</v>
      </c>
      <c r="D50" s="8" t="s">
        <v>7</v>
      </c>
      <c r="E50" s="148" t="s">
        <v>237</v>
      </c>
      <c r="F50" s="139" t="s">
        <v>112</v>
      </c>
      <c r="G50" s="150">
        <v>843</v>
      </c>
      <c r="H50" s="143">
        <v>10</v>
      </c>
      <c r="I50" s="142" t="s">
        <v>9</v>
      </c>
      <c r="J50" s="7" t="s">
        <v>240</v>
      </c>
      <c r="K50" s="6"/>
      <c r="L50" s="32">
        <f>L75</f>
        <v>360861.8</v>
      </c>
      <c r="M50" s="32">
        <v>333837.5</v>
      </c>
      <c r="N50" s="30">
        <f>M75*1.05</f>
        <v>0</v>
      </c>
      <c r="O50" s="30">
        <f>N50*1.05</f>
        <v>0</v>
      </c>
      <c r="P50" s="30">
        <f>O50*1.05</f>
        <v>0</v>
      </c>
      <c r="Q50" s="30">
        <f t="shared" si="4"/>
        <v>0</v>
      </c>
    </row>
    <row r="51" spans="1:17" ht="38.25" customHeight="1">
      <c r="A51" s="159" t="s">
        <v>110</v>
      </c>
      <c r="B51" s="159" t="s">
        <v>7</v>
      </c>
      <c r="C51" s="159" t="s">
        <v>33</v>
      </c>
      <c r="D51" s="8"/>
      <c r="E51" s="148" t="s">
        <v>241</v>
      </c>
      <c r="F51" s="139" t="s">
        <v>112</v>
      </c>
      <c r="G51" s="150">
        <v>843</v>
      </c>
      <c r="H51" s="143">
        <v>10</v>
      </c>
      <c r="I51" s="142" t="s">
        <v>9</v>
      </c>
      <c r="J51" s="7" t="s">
        <v>243</v>
      </c>
      <c r="K51" s="6">
        <v>320</v>
      </c>
      <c r="L51" s="32">
        <f>L52</f>
        <v>36893.5</v>
      </c>
      <c r="M51" s="32">
        <f>M52</f>
        <v>35061.599999999999</v>
      </c>
      <c r="N51" s="32">
        <v>0</v>
      </c>
      <c r="O51" s="32">
        <v>0</v>
      </c>
      <c r="P51" s="32">
        <v>0</v>
      </c>
      <c r="Q51" s="32">
        <v>0</v>
      </c>
    </row>
    <row r="52" spans="1:17" ht="38.25" hidden="1" customHeight="1">
      <c r="A52" s="159" t="s">
        <v>110</v>
      </c>
      <c r="B52" s="159" t="s">
        <v>7</v>
      </c>
      <c r="C52" s="159" t="s">
        <v>33</v>
      </c>
      <c r="D52" s="8" t="s">
        <v>7</v>
      </c>
      <c r="E52" s="148" t="s">
        <v>242</v>
      </c>
      <c r="F52" s="139" t="s">
        <v>112</v>
      </c>
      <c r="G52" s="150">
        <v>843</v>
      </c>
      <c r="H52" s="143">
        <v>10</v>
      </c>
      <c r="I52" s="142" t="s">
        <v>9</v>
      </c>
      <c r="J52" s="7" t="s">
        <v>244</v>
      </c>
      <c r="K52" s="6"/>
      <c r="L52" s="32">
        <f>L76</f>
        <v>36893.5</v>
      </c>
      <c r="M52" s="31">
        <v>35061.599999999999</v>
      </c>
      <c r="N52" s="30">
        <f>M52*1.05</f>
        <v>36814.68</v>
      </c>
      <c r="O52" s="30">
        <f>N52*1.05</f>
        <v>38655.414000000004</v>
      </c>
      <c r="P52" s="30">
        <f>O52*1.05</f>
        <v>40588.184700000005</v>
      </c>
      <c r="Q52" s="30">
        <f t="shared" si="4"/>
        <v>42617.593935000004</v>
      </c>
    </row>
    <row r="53" spans="1:17" ht="38.25" customHeight="1">
      <c r="A53" s="159" t="s">
        <v>110</v>
      </c>
      <c r="B53" s="159" t="s">
        <v>7</v>
      </c>
      <c r="C53" s="159" t="s">
        <v>25</v>
      </c>
      <c r="D53" s="8"/>
      <c r="E53" s="148" t="s">
        <v>23</v>
      </c>
      <c r="F53" s="139" t="s">
        <v>112</v>
      </c>
      <c r="G53" s="150">
        <v>843</v>
      </c>
      <c r="H53" s="143">
        <v>10</v>
      </c>
      <c r="I53" s="142" t="s">
        <v>25</v>
      </c>
      <c r="J53" s="7" t="s">
        <v>245</v>
      </c>
      <c r="K53" s="6">
        <v>630</v>
      </c>
      <c r="L53" s="31">
        <f t="shared" ref="L53:Q53" si="8">SUM(L54:L64)</f>
        <v>2753.9</v>
      </c>
      <c r="M53" s="32">
        <f t="shared" si="8"/>
        <v>2960.8</v>
      </c>
      <c r="N53" s="31">
        <f t="shared" si="8"/>
        <v>2908.1000000000004</v>
      </c>
      <c r="O53" s="31">
        <f t="shared" si="8"/>
        <v>3053.5050000000001</v>
      </c>
      <c r="P53" s="31">
        <f t="shared" si="8"/>
        <v>3206.1802500000003</v>
      </c>
      <c r="Q53" s="31">
        <f t="shared" si="8"/>
        <v>3366.4892625000007</v>
      </c>
    </row>
    <row r="54" spans="1:17" ht="38.25" hidden="1" customHeight="1">
      <c r="A54" s="159" t="s">
        <v>110</v>
      </c>
      <c r="B54" s="159" t="s">
        <v>7</v>
      </c>
      <c r="C54" s="159" t="s">
        <v>25</v>
      </c>
      <c r="D54" s="8" t="s">
        <v>7</v>
      </c>
      <c r="E54" s="148" t="s">
        <v>246</v>
      </c>
      <c r="F54" s="139" t="s">
        <v>112</v>
      </c>
      <c r="G54" s="150">
        <v>843</v>
      </c>
      <c r="H54" s="143">
        <v>10</v>
      </c>
      <c r="I54" s="142" t="s">
        <v>25</v>
      </c>
      <c r="J54" s="7" t="s">
        <v>257</v>
      </c>
      <c r="K54" s="6">
        <v>630</v>
      </c>
      <c r="L54" s="32">
        <v>381.3</v>
      </c>
      <c r="M54" s="31">
        <v>508.4</v>
      </c>
      <c r="N54" s="30">
        <v>507.9</v>
      </c>
      <c r="O54" s="30">
        <f>N54*1.05</f>
        <v>533.29499999999996</v>
      </c>
      <c r="P54" s="30">
        <f>O54*1.05</f>
        <v>559.95974999999999</v>
      </c>
      <c r="Q54" s="30">
        <f t="shared" si="4"/>
        <v>587.95773750000001</v>
      </c>
    </row>
    <row r="55" spans="1:17" ht="38.25" hidden="1" customHeight="1">
      <c r="A55" s="159" t="s">
        <v>110</v>
      </c>
      <c r="B55" s="159" t="s">
        <v>7</v>
      </c>
      <c r="C55" s="159" t="s">
        <v>25</v>
      </c>
      <c r="D55" s="8" t="s">
        <v>8</v>
      </c>
      <c r="E55" s="148" t="s">
        <v>247</v>
      </c>
      <c r="F55" s="139" t="s">
        <v>112</v>
      </c>
      <c r="G55" s="150">
        <v>843</v>
      </c>
      <c r="H55" s="143">
        <v>10</v>
      </c>
      <c r="I55" s="142" t="s">
        <v>25</v>
      </c>
      <c r="J55" s="7" t="s">
        <v>258</v>
      </c>
      <c r="K55" s="6">
        <v>630</v>
      </c>
      <c r="L55" s="32">
        <v>174.2</v>
      </c>
      <c r="M55" s="31">
        <v>232.3</v>
      </c>
      <c r="N55" s="30">
        <v>232.1</v>
      </c>
      <c r="O55" s="30">
        <f t="shared" ref="O55:P64" si="9">N55*1.05</f>
        <v>243.70500000000001</v>
      </c>
      <c r="P55" s="30">
        <f t="shared" si="9"/>
        <v>255.89025000000004</v>
      </c>
      <c r="Q55" s="30">
        <f t="shared" si="4"/>
        <v>268.68476250000003</v>
      </c>
    </row>
    <row r="56" spans="1:17" ht="38.25" hidden="1" customHeight="1">
      <c r="A56" s="159" t="s">
        <v>110</v>
      </c>
      <c r="B56" s="159" t="s">
        <v>7</v>
      </c>
      <c r="C56" s="159" t="s">
        <v>25</v>
      </c>
      <c r="D56" s="8" t="s">
        <v>9</v>
      </c>
      <c r="E56" s="148" t="s">
        <v>248</v>
      </c>
      <c r="F56" s="139" t="s">
        <v>112</v>
      </c>
      <c r="G56" s="150">
        <v>843</v>
      </c>
      <c r="H56" s="143">
        <v>10</v>
      </c>
      <c r="I56" s="142" t="s">
        <v>25</v>
      </c>
      <c r="J56" s="7" t="s">
        <v>259</v>
      </c>
      <c r="K56" s="6">
        <v>630</v>
      </c>
      <c r="L56" s="32">
        <v>103.7</v>
      </c>
      <c r="M56" s="31">
        <v>138.19999999999999</v>
      </c>
      <c r="N56" s="30">
        <v>138.1</v>
      </c>
      <c r="O56" s="30">
        <f t="shared" si="9"/>
        <v>145.005</v>
      </c>
      <c r="P56" s="30">
        <f t="shared" si="9"/>
        <v>152.25524999999999</v>
      </c>
      <c r="Q56" s="30">
        <f t="shared" si="4"/>
        <v>159.86801249999999</v>
      </c>
    </row>
    <row r="57" spans="1:17" ht="63.75" hidden="1" customHeight="1">
      <c r="A57" s="159" t="s">
        <v>110</v>
      </c>
      <c r="B57" s="159" t="s">
        <v>7</v>
      </c>
      <c r="C57" s="159" t="s">
        <v>25</v>
      </c>
      <c r="D57" s="8" t="s">
        <v>10</v>
      </c>
      <c r="E57" s="148" t="s">
        <v>249</v>
      </c>
      <c r="F57" s="139" t="s">
        <v>112</v>
      </c>
      <c r="G57" s="150">
        <v>843</v>
      </c>
      <c r="H57" s="143">
        <v>10</v>
      </c>
      <c r="I57" s="142" t="s">
        <v>25</v>
      </c>
      <c r="J57" s="7" t="s">
        <v>260</v>
      </c>
      <c r="K57" s="6">
        <v>630</v>
      </c>
      <c r="L57" s="32">
        <v>19</v>
      </c>
      <c r="M57" s="31">
        <v>25.3</v>
      </c>
      <c r="N57" s="30">
        <v>25.3</v>
      </c>
      <c r="O57" s="30">
        <f t="shared" si="9"/>
        <v>26.565000000000001</v>
      </c>
      <c r="P57" s="30">
        <f t="shared" si="9"/>
        <v>27.893250000000002</v>
      </c>
      <c r="Q57" s="30">
        <f t="shared" si="4"/>
        <v>29.287912500000004</v>
      </c>
    </row>
    <row r="58" spans="1:17" ht="38.25" hidden="1" customHeight="1">
      <c r="A58" s="159" t="s">
        <v>110</v>
      </c>
      <c r="B58" s="159" t="s">
        <v>7</v>
      </c>
      <c r="C58" s="159" t="s">
        <v>25</v>
      </c>
      <c r="D58" s="8" t="s">
        <v>33</v>
      </c>
      <c r="E58" s="148" t="s">
        <v>250</v>
      </c>
      <c r="F58" s="139" t="s">
        <v>112</v>
      </c>
      <c r="G58" s="150">
        <v>843</v>
      </c>
      <c r="H58" s="143">
        <v>10</v>
      </c>
      <c r="I58" s="142" t="s">
        <v>25</v>
      </c>
      <c r="J58" s="7" t="s">
        <v>374</v>
      </c>
      <c r="K58" s="6">
        <v>630</v>
      </c>
      <c r="L58" s="32">
        <v>75.2</v>
      </c>
      <c r="M58" s="31">
        <v>100.2</v>
      </c>
      <c r="N58" s="30">
        <v>100.1</v>
      </c>
      <c r="O58" s="30">
        <f t="shared" si="9"/>
        <v>105.105</v>
      </c>
      <c r="P58" s="30">
        <f t="shared" si="9"/>
        <v>110.36025000000001</v>
      </c>
      <c r="Q58" s="30">
        <f t="shared" si="4"/>
        <v>115.87826250000002</v>
      </c>
    </row>
    <row r="59" spans="1:17" ht="38.25" hidden="1" customHeight="1">
      <c r="A59" s="159" t="s">
        <v>110</v>
      </c>
      <c r="B59" s="159" t="s">
        <v>7</v>
      </c>
      <c r="C59" s="159" t="s">
        <v>25</v>
      </c>
      <c r="D59" s="8" t="s">
        <v>25</v>
      </c>
      <c r="E59" s="148" t="s">
        <v>251</v>
      </c>
      <c r="F59" s="139" t="s">
        <v>112</v>
      </c>
      <c r="G59" s="150">
        <v>843</v>
      </c>
      <c r="H59" s="143">
        <v>10</v>
      </c>
      <c r="I59" s="142" t="s">
        <v>25</v>
      </c>
      <c r="J59" s="7" t="s">
        <v>375</v>
      </c>
      <c r="K59" s="6">
        <v>630</v>
      </c>
      <c r="L59" s="32">
        <v>413.9</v>
      </c>
      <c r="M59" s="31">
        <v>413.9</v>
      </c>
      <c r="N59" s="30">
        <v>413.5</v>
      </c>
      <c r="O59" s="30">
        <f t="shared" si="9"/>
        <v>434.17500000000001</v>
      </c>
      <c r="P59" s="30">
        <f t="shared" si="9"/>
        <v>455.88375000000002</v>
      </c>
      <c r="Q59" s="30">
        <f t="shared" si="4"/>
        <v>478.67793750000004</v>
      </c>
    </row>
    <row r="60" spans="1:17" ht="51" hidden="1" customHeight="1">
      <c r="A60" s="159" t="s">
        <v>110</v>
      </c>
      <c r="B60" s="159" t="s">
        <v>7</v>
      </c>
      <c r="C60" s="159" t="s">
        <v>25</v>
      </c>
      <c r="D60" s="8" t="s">
        <v>6</v>
      </c>
      <c r="E60" s="148" t="s">
        <v>252</v>
      </c>
      <c r="F60" s="139" t="s">
        <v>112</v>
      </c>
      <c r="G60" s="150">
        <v>843</v>
      </c>
      <c r="H60" s="143">
        <v>10</v>
      </c>
      <c r="I60" s="142" t="s">
        <v>25</v>
      </c>
      <c r="J60" s="7" t="s">
        <v>376</v>
      </c>
      <c r="K60" s="6">
        <v>630</v>
      </c>
      <c r="L60" s="32">
        <v>494.4</v>
      </c>
      <c r="M60" s="31">
        <v>494.4</v>
      </c>
      <c r="N60" s="30">
        <v>493.9</v>
      </c>
      <c r="O60" s="30">
        <f t="shared" si="9"/>
        <v>518.59500000000003</v>
      </c>
      <c r="P60" s="30">
        <f t="shared" si="9"/>
        <v>544.52475000000004</v>
      </c>
      <c r="Q60" s="30">
        <f t="shared" si="4"/>
        <v>571.75098750000006</v>
      </c>
    </row>
    <row r="61" spans="1:17" ht="51" hidden="1" customHeight="1">
      <c r="A61" s="159" t="s">
        <v>110</v>
      </c>
      <c r="B61" s="159" t="s">
        <v>7</v>
      </c>
      <c r="C61" s="159" t="s">
        <v>25</v>
      </c>
      <c r="D61" s="8" t="s">
        <v>34</v>
      </c>
      <c r="E61" s="148" t="s">
        <v>253</v>
      </c>
      <c r="F61" s="139" t="s">
        <v>112</v>
      </c>
      <c r="G61" s="150">
        <v>843</v>
      </c>
      <c r="H61" s="143">
        <v>10</v>
      </c>
      <c r="I61" s="142" t="s">
        <v>25</v>
      </c>
      <c r="J61" s="7" t="s">
        <v>377</v>
      </c>
      <c r="K61" s="6">
        <v>630</v>
      </c>
      <c r="L61" s="32">
        <v>1000</v>
      </c>
      <c r="M61" s="31">
        <v>925.1</v>
      </c>
      <c r="N61" s="30">
        <v>924.2</v>
      </c>
      <c r="O61" s="30">
        <f t="shared" si="9"/>
        <v>970.41000000000008</v>
      </c>
      <c r="P61" s="30">
        <f t="shared" si="9"/>
        <v>1018.9305000000002</v>
      </c>
      <c r="Q61" s="30">
        <f t="shared" si="4"/>
        <v>1069.8770250000002</v>
      </c>
    </row>
    <row r="62" spans="1:17" ht="38.25" hidden="1" customHeight="1">
      <c r="A62" s="159" t="s">
        <v>110</v>
      </c>
      <c r="B62" s="159" t="s">
        <v>7</v>
      </c>
      <c r="C62" s="159" t="s">
        <v>25</v>
      </c>
      <c r="D62" s="8" t="s">
        <v>35</v>
      </c>
      <c r="E62" s="148" t="s">
        <v>254</v>
      </c>
      <c r="F62" s="139" t="s">
        <v>112</v>
      </c>
      <c r="G62" s="150">
        <v>843</v>
      </c>
      <c r="H62" s="143">
        <v>10</v>
      </c>
      <c r="I62" s="142" t="s">
        <v>25</v>
      </c>
      <c r="J62" s="7" t="s">
        <v>378</v>
      </c>
      <c r="K62" s="6">
        <v>630</v>
      </c>
      <c r="L62" s="32">
        <v>22.1</v>
      </c>
      <c r="M62" s="31">
        <v>29.5</v>
      </c>
      <c r="N62" s="30">
        <v>29.5</v>
      </c>
      <c r="O62" s="30">
        <f t="shared" si="9"/>
        <v>30.975000000000001</v>
      </c>
      <c r="P62" s="30">
        <f t="shared" si="9"/>
        <v>32.52375</v>
      </c>
      <c r="Q62" s="30">
        <f t="shared" si="4"/>
        <v>34.1499375</v>
      </c>
    </row>
    <row r="63" spans="1:17" ht="38.25" hidden="1" customHeight="1">
      <c r="A63" s="159" t="s">
        <v>110</v>
      </c>
      <c r="B63" s="159" t="s">
        <v>7</v>
      </c>
      <c r="C63" s="159" t="s">
        <v>25</v>
      </c>
      <c r="D63" s="8" t="s">
        <v>51</v>
      </c>
      <c r="E63" s="148" t="s">
        <v>255</v>
      </c>
      <c r="F63" s="139" t="s">
        <v>112</v>
      </c>
      <c r="G63" s="150">
        <v>843</v>
      </c>
      <c r="H63" s="143">
        <v>10</v>
      </c>
      <c r="I63" s="142" t="s">
        <v>25</v>
      </c>
      <c r="J63" s="7" t="s">
        <v>379</v>
      </c>
      <c r="K63" s="6">
        <v>630</v>
      </c>
      <c r="L63" s="32">
        <v>32.6</v>
      </c>
      <c r="M63" s="31">
        <v>43.5</v>
      </c>
      <c r="N63" s="30">
        <v>43.5</v>
      </c>
      <c r="O63" s="30">
        <f t="shared" si="9"/>
        <v>45.675000000000004</v>
      </c>
      <c r="P63" s="30">
        <f t="shared" si="9"/>
        <v>47.958750000000009</v>
      </c>
      <c r="Q63" s="30">
        <f t="shared" si="4"/>
        <v>50.356687500000014</v>
      </c>
    </row>
    <row r="64" spans="1:17" ht="38.25" hidden="1" customHeight="1">
      <c r="A64" s="159" t="s">
        <v>110</v>
      </c>
      <c r="B64" s="159" t="s">
        <v>7</v>
      </c>
      <c r="C64" s="159" t="s">
        <v>25</v>
      </c>
      <c r="D64" s="8" t="s">
        <v>68</v>
      </c>
      <c r="E64" s="148" t="s">
        <v>256</v>
      </c>
      <c r="F64" s="139" t="s">
        <v>112</v>
      </c>
      <c r="G64" s="150">
        <v>843</v>
      </c>
      <c r="H64" s="143">
        <v>10</v>
      </c>
      <c r="I64" s="142" t="s">
        <v>25</v>
      </c>
      <c r="J64" s="7" t="s">
        <v>380</v>
      </c>
      <c r="K64" s="6">
        <v>630</v>
      </c>
      <c r="L64" s="32">
        <v>37.5</v>
      </c>
      <c r="M64" s="31">
        <v>50</v>
      </c>
      <c r="N64" s="30">
        <v>0</v>
      </c>
      <c r="O64" s="30">
        <f t="shared" si="9"/>
        <v>0</v>
      </c>
      <c r="P64" s="30">
        <f t="shared" si="9"/>
        <v>0</v>
      </c>
      <c r="Q64" s="30">
        <f t="shared" si="4"/>
        <v>0</v>
      </c>
    </row>
    <row r="65" spans="1:19" ht="38.25" hidden="1" customHeight="1">
      <c r="A65" s="159"/>
      <c r="B65" s="159"/>
      <c r="C65" s="159"/>
      <c r="D65" s="6"/>
      <c r="E65" s="160" t="s">
        <v>14</v>
      </c>
      <c r="F65" s="1" t="s">
        <v>112</v>
      </c>
      <c r="G65" s="6">
        <v>843</v>
      </c>
      <c r="H65" s="6"/>
      <c r="I65" s="8"/>
      <c r="J65" s="8"/>
      <c r="K65" s="6"/>
      <c r="L65" s="30">
        <f>SUM(L28:L44)</f>
        <v>3263781.1999999997</v>
      </c>
      <c r="M65" s="30">
        <v>0</v>
      </c>
      <c r="N65" s="30">
        <v>0</v>
      </c>
      <c r="O65" s="30">
        <v>0</v>
      </c>
      <c r="P65" s="30">
        <v>0</v>
      </c>
      <c r="Q65" s="30">
        <v>0</v>
      </c>
      <c r="R65" s="36"/>
    </row>
    <row r="66" spans="1:19" s="18" customFormat="1" ht="38.25" hidden="1" customHeight="1">
      <c r="A66" s="8"/>
      <c r="B66" s="8"/>
      <c r="C66" s="8"/>
      <c r="D66" s="8"/>
      <c r="E66" s="1" t="s">
        <v>70</v>
      </c>
      <c r="F66" s="1" t="s">
        <v>112</v>
      </c>
      <c r="G66" s="6">
        <v>843</v>
      </c>
      <c r="H66" s="6"/>
      <c r="I66" s="8"/>
      <c r="J66" s="8"/>
      <c r="K66" s="6"/>
      <c r="L66" s="32">
        <f>L67+L68+L69+L70+L71+L72+L73</f>
        <v>118602.2</v>
      </c>
      <c r="M66" s="32">
        <f ca="1">SUM(M37:M73)</f>
        <v>0</v>
      </c>
      <c r="N66" s="32">
        <f ca="1">SUM(N37:N73)</f>
        <v>0</v>
      </c>
      <c r="O66" s="32">
        <f ca="1">SUM(O37:O73)</f>
        <v>0</v>
      </c>
      <c r="P66" s="32">
        <f ca="1">SUM(P37:P73)</f>
        <v>0</v>
      </c>
      <c r="Q66" s="30">
        <v>0</v>
      </c>
    </row>
    <row r="67" spans="1:19" ht="38.25" hidden="1" customHeight="1">
      <c r="A67" s="50"/>
      <c r="B67" s="50"/>
      <c r="C67" s="50"/>
      <c r="D67" s="50"/>
      <c r="E67" s="160" t="s">
        <v>15</v>
      </c>
      <c r="F67" s="1" t="s">
        <v>112</v>
      </c>
      <c r="G67" s="6">
        <v>843</v>
      </c>
      <c r="H67" s="144">
        <v>10</v>
      </c>
      <c r="I67" s="7" t="s">
        <v>9</v>
      </c>
      <c r="J67" s="7" t="s">
        <v>127</v>
      </c>
      <c r="K67" s="170" t="s">
        <v>50</v>
      </c>
      <c r="L67" s="32">
        <v>16888.2</v>
      </c>
      <c r="M67" s="32">
        <v>0</v>
      </c>
      <c r="N67" s="32">
        <v>0</v>
      </c>
      <c r="O67" s="30">
        <f t="shared" ref="O67:P77" si="10">N67*1.05</f>
        <v>0</v>
      </c>
      <c r="P67" s="30">
        <f t="shared" si="10"/>
        <v>0</v>
      </c>
      <c r="Q67" s="30">
        <f t="shared" si="4"/>
        <v>0</v>
      </c>
    </row>
    <row r="68" spans="1:19" ht="38.25" hidden="1" customHeight="1">
      <c r="A68" s="50"/>
      <c r="B68" s="50"/>
      <c r="C68" s="50"/>
      <c r="D68" s="50"/>
      <c r="E68" s="160" t="s">
        <v>189</v>
      </c>
      <c r="F68" s="1" t="s">
        <v>112</v>
      </c>
      <c r="G68" s="6">
        <v>843</v>
      </c>
      <c r="H68" s="144">
        <v>10</v>
      </c>
      <c r="I68" s="7" t="s">
        <v>9</v>
      </c>
      <c r="J68" s="7" t="s">
        <v>129</v>
      </c>
      <c r="K68" s="170">
        <v>313</v>
      </c>
      <c r="L68" s="32">
        <v>4991.5</v>
      </c>
      <c r="M68" s="32">
        <v>0</v>
      </c>
      <c r="N68" s="32">
        <v>0</v>
      </c>
      <c r="O68" s="30">
        <f t="shared" si="10"/>
        <v>0</v>
      </c>
      <c r="P68" s="30">
        <f t="shared" si="10"/>
        <v>0</v>
      </c>
      <c r="Q68" s="30">
        <f t="shared" si="4"/>
        <v>0</v>
      </c>
    </row>
    <row r="69" spans="1:19" ht="40.5" hidden="1" customHeight="1">
      <c r="A69" s="50"/>
      <c r="B69" s="50"/>
      <c r="C69" s="50"/>
      <c r="D69" s="50"/>
      <c r="E69" s="160" t="s">
        <v>16</v>
      </c>
      <c r="F69" s="1" t="s">
        <v>112</v>
      </c>
      <c r="G69" s="6">
        <v>843</v>
      </c>
      <c r="H69" s="144">
        <v>10</v>
      </c>
      <c r="I69" s="7" t="s">
        <v>9</v>
      </c>
      <c r="J69" s="8" t="s">
        <v>130</v>
      </c>
      <c r="K69" s="8" t="s">
        <v>50</v>
      </c>
      <c r="L69" s="32">
        <v>547</v>
      </c>
      <c r="M69" s="32">
        <v>0</v>
      </c>
      <c r="N69" s="32">
        <v>0</v>
      </c>
      <c r="O69" s="30">
        <f t="shared" si="10"/>
        <v>0</v>
      </c>
      <c r="P69" s="30">
        <f t="shared" si="10"/>
        <v>0</v>
      </c>
      <c r="Q69" s="30">
        <f t="shared" si="4"/>
        <v>0</v>
      </c>
    </row>
    <row r="70" spans="1:19" ht="38.25" hidden="1" customHeight="1">
      <c r="A70" s="50"/>
      <c r="B70" s="50"/>
      <c r="C70" s="50"/>
      <c r="D70" s="50"/>
      <c r="E70" s="2" t="s">
        <v>17</v>
      </c>
      <c r="F70" s="1" t="s">
        <v>112</v>
      </c>
      <c r="G70" s="6">
        <v>843</v>
      </c>
      <c r="H70" s="144">
        <v>10</v>
      </c>
      <c r="I70" s="7" t="s">
        <v>7</v>
      </c>
      <c r="J70" s="8" t="s">
        <v>126</v>
      </c>
      <c r="K70" s="6">
        <v>312</v>
      </c>
      <c r="L70" s="32">
        <v>86000.2</v>
      </c>
      <c r="M70" s="32">
        <v>0</v>
      </c>
      <c r="N70" s="32">
        <v>0</v>
      </c>
      <c r="O70" s="30">
        <f t="shared" si="10"/>
        <v>0</v>
      </c>
      <c r="P70" s="30">
        <f t="shared" si="10"/>
        <v>0</v>
      </c>
      <c r="Q70" s="30">
        <f t="shared" si="4"/>
        <v>0</v>
      </c>
    </row>
    <row r="71" spans="1:19" ht="38.25" hidden="1" customHeight="1">
      <c r="A71" s="50"/>
      <c r="B71" s="50"/>
      <c r="C71" s="50"/>
      <c r="D71" s="50"/>
      <c r="E71" s="160" t="s">
        <v>74</v>
      </c>
      <c r="F71" s="1" t="s">
        <v>112</v>
      </c>
      <c r="G71" s="6">
        <v>843</v>
      </c>
      <c r="H71" s="144">
        <v>10</v>
      </c>
      <c r="I71" s="7" t="s">
        <v>9</v>
      </c>
      <c r="J71" s="8" t="s">
        <v>134</v>
      </c>
      <c r="K71" s="6">
        <v>321</v>
      </c>
      <c r="L71" s="32">
        <v>115.7</v>
      </c>
      <c r="M71" s="32">
        <v>0</v>
      </c>
      <c r="N71" s="32">
        <v>0</v>
      </c>
      <c r="O71" s="30">
        <f t="shared" si="10"/>
        <v>0</v>
      </c>
      <c r="P71" s="30">
        <f t="shared" si="10"/>
        <v>0</v>
      </c>
      <c r="Q71" s="30">
        <f t="shared" si="4"/>
        <v>0</v>
      </c>
    </row>
    <row r="72" spans="1:19" ht="51" hidden="1" customHeight="1">
      <c r="A72" s="50"/>
      <c r="B72" s="50"/>
      <c r="C72" s="50"/>
      <c r="D72" s="50"/>
      <c r="E72" s="160" t="s">
        <v>18</v>
      </c>
      <c r="F72" s="1" t="s">
        <v>112</v>
      </c>
      <c r="G72" s="6">
        <v>843</v>
      </c>
      <c r="H72" s="144">
        <v>10</v>
      </c>
      <c r="I72" s="7" t="s">
        <v>9</v>
      </c>
      <c r="J72" s="8" t="s">
        <v>131</v>
      </c>
      <c r="K72" s="6">
        <v>321</v>
      </c>
      <c r="L72" s="32">
        <v>61.6</v>
      </c>
      <c r="M72" s="32">
        <v>0</v>
      </c>
      <c r="N72" s="30">
        <f>M72*1.05</f>
        <v>0</v>
      </c>
      <c r="O72" s="30">
        <f t="shared" si="10"/>
        <v>0</v>
      </c>
      <c r="P72" s="30">
        <f t="shared" si="10"/>
        <v>0</v>
      </c>
      <c r="Q72" s="30">
        <f t="shared" si="4"/>
        <v>0</v>
      </c>
    </row>
    <row r="73" spans="1:19" ht="51" hidden="1" customHeight="1">
      <c r="A73" s="50"/>
      <c r="B73" s="50"/>
      <c r="C73" s="50"/>
      <c r="D73" s="50"/>
      <c r="E73" s="160" t="s">
        <v>19</v>
      </c>
      <c r="F73" s="1" t="s">
        <v>112</v>
      </c>
      <c r="G73" s="6">
        <v>843</v>
      </c>
      <c r="H73" s="8" t="s">
        <v>51</v>
      </c>
      <c r="I73" s="8" t="s">
        <v>9</v>
      </c>
      <c r="J73" s="8" t="s">
        <v>133</v>
      </c>
      <c r="K73" s="8" t="s">
        <v>52</v>
      </c>
      <c r="L73" s="32">
        <v>9998</v>
      </c>
      <c r="M73" s="32">
        <v>0</v>
      </c>
      <c r="N73" s="30">
        <v>0</v>
      </c>
      <c r="O73" s="30">
        <f t="shared" si="10"/>
        <v>0</v>
      </c>
      <c r="P73" s="30">
        <f t="shared" si="10"/>
        <v>0</v>
      </c>
      <c r="Q73" s="30">
        <f t="shared" si="4"/>
        <v>0</v>
      </c>
    </row>
    <row r="74" spans="1:19" ht="38.25" hidden="1" customHeight="1">
      <c r="A74" s="50"/>
      <c r="B74" s="50"/>
      <c r="C74" s="50"/>
      <c r="D74" s="52"/>
      <c r="E74" s="160" t="s">
        <v>20</v>
      </c>
      <c r="F74" s="1" t="s">
        <v>112</v>
      </c>
      <c r="G74" s="6">
        <v>843</v>
      </c>
      <c r="H74" s="144">
        <v>10</v>
      </c>
      <c r="I74" s="7" t="s">
        <v>9</v>
      </c>
      <c r="J74" s="7" t="s">
        <v>128</v>
      </c>
      <c r="K74" s="170">
        <v>321</v>
      </c>
      <c r="L74" s="33">
        <v>13245</v>
      </c>
      <c r="M74" s="32">
        <v>0</v>
      </c>
      <c r="N74" s="30">
        <v>0</v>
      </c>
      <c r="O74" s="30">
        <f t="shared" si="10"/>
        <v>0</v>
      </c>
      <c r="P74" s="30">
        <f t="shared" si="10"/>
        <v>0</v>
      </c>
      <c r="Q74" s="30">
        <f t="shared" si="4"/>
        <v>0</v>
      </c>
    </row>
    <row r="75" spans="1:19" ht="51" hidden="1" customHeight="1">
      <c r="A75" s="50"/>
      <c r="B75" s="50"/>
      <c r="C75" s="50"/>
      <c r="D75" s="52"/>
      <c r="E75" s="160" t="s">
        <v>21</v>
      </c>
      <c r="F75" s="1" t="s">
        <v>112</v>
      </c>
      <c r="G75" s="6">
        <v>843</v>
      </c>
      <c r="H75" s="144">
        <v>10</v>
      </c>
      <c r="I75" s="7" t="s">
        <v>9</v>
      </c>
      <c r="J75" s="7" t="s">
        <v>183</v>
      </c>
      <c r="K75" s="170">
        <v>321.32299999999998</v>
      </c>
      <c r="L75" s="33">
        <v>360861.8</v>
      </c>
      <c r="M75" s="32">
        <v>0</v>
      </c>
      <c r="N75" s="30">
        <v>0</v>
      </c>
      <c r="O75" s="30">
        <f t="shared" si="10"/>
        <v>0</v>
      </c>
      <c r="P75" s="30">
        <f t="shared" si="10"/>
        <v>0</v>
      </c>
      <c r="Q75" s="30">
        <f t="shared" si="4"/>
        <v>0</v>
      </c>
    </row>
    <row r="76" spans="1:19" ht="76.5" hidden="1" customHeight="1">
      <c r="A76" s="50"/>
      <c r="B76" s="50"/>
      <c r="C76" s="50"/>
      <c r="D76" s="52"/>
      <c r="E76" s="44" t="s">
        <v>22</v>
      </c>
      <c r="F76" s="1" t="s">
        <v>112</v>
      </c>
      <c r="G76" s="6">
        <v>843</v>
      </c>
      <c r="H76" s="144">
        <v>10</v>
      </c>
      <c r="I76" s="7" t="s">
        <v>9</v>
      </c>
      <c r="J76" s="7" t="s">
        <v>184</v>
      </c>
      <c r="K76" s="170">
        <v>321.32299999999998</v>
      </c>
      <c r="L76" s="33">
        <v>36893.5</v>
      </c>
      <c r="M76" s="32">
        <v>0</v>
      </c>
      <c r="N76" s="30">
        <v>0</v>
      </c>
      <c r="O76" s="30">
        <f t="shared" si="10"/>
        <v>0</v>
      </c>
      <c r="P76" s="30">
        <f t="shared" si="10"/>
        <v>0</v>
      </c>
      <c r="Q76" s="30">
        <f t="shared" si="4"/>
        <v>0</v>
      </c>
    </row>
    <row r="77" spans="1:19" ht="38.25" hidden="1" customHeight="1">
      <c r="A77" s="50"/>
      <c r="B77" s="50"/>
      <c r="C77" s="50"/>
      <c r="D77" s="51"/>
      <c r="E77" s="160" t="s">
        <v>23</v>
      </c>
      <c r="F77" s="1" t="s">
        <v>112</v>
      </c>
      <c r="G77" s="6">
        <v>843</v>
      </c>
      <c r="H77" s="144">
        <v>10</v>
      </c>
      <c r="I77" s="7" t="s">
        <v>25</v>
      </c>
      <c r="J77" s="7" t="s">
        <v>132</v>
      </c>
      <c r="K77" s="170">
        <v>630</v>
      </c>
      <c r="L77" s="33">
        <f>2753.9</f>
        <v>2753.9</v>
      </c>
      <c r="M77" s="32">
        <v>0</v>
      </c>
      <c r="N77" s="30"/>
      <c r="O77" s="30">
        <f t="shared" si="10"/>
        <v>0</v>
      </c>
      <c r="P77" s="30">
        <f t="shared" si="10"/>
        <v>0</v>
      </c>
      <c r="Q77" s="30">
        <f t="shared" si="4"/>
        <v>0</v>
      </c>
    </row>
    <row r="78" spans="1:19" ht="15" customHeight="1">
      <c r="A78" s="501" t="s">
        <v>110</v>
      </c>
      <c r="B78" s="501" t="s">
        <v>8</v>
      </c>
      <c r="C78" s="501"/>
      <c r="D78" s="503"/>
      <c r="E78" s="505" t="s">
        <v>176</v>
      </c>
      <c r="F78" s="1" t="s">
        <v>48</v>
      </c>
      <c r="G78" s="6"/>
      <c r="H78" s="6"/>
      <c r="I78" s="8"/>
      <c r="J78" s="8"/>
      <c r="K78" s="6"/>
      <c r="L78" s="30">
        <f>L79+L80+L81</f>
        <v>1950521.87</v>
      </c>
      <c r="M78" s="30">
        <f>M79+M80+M81</f>
        <v>1730595.9</v>
      </c>
      <c r="N78" s="30">
        <f>N79+N80+N81</f>
        <v>1486464.7999999996</v>
      </c>
      <c r="O78" s="30">
        <f>O79+O80+O81</f>
        <v>1560788.0900000003</v>
      </c>
      <c r="P78" s="30">
        <f>P79+P80+P81</f>
        <v>1638827.4545</v>
      </c>
      <c r="Q78" s="30">
        <f>P78*1.05</f>
        <v>1720768.8272250001</v>
      </c>
      <c r="R78" s="26">
        <v>1950521.8</v>
      </c>
      <c r="S78" s="56">
        <f>R78-L78</f>
        <v>-7.000000006519258E-2</v>
      </c>
    </row>
    <row r="79" spans="1:19" ht="38.25">
      <c r="A79" s="527"/>
      <c r="B79" s="527"/>
      <c r="C79" s="527"/>
      <c r="D79" s="518"/>
      <c r="E79" s="515"/>
      <c r="F79" s="1" t="s">
        <v>112</v>
      </c>
      <c r="G79" s="6">
        <v>843</v>
      </c>
      <c r="H79" s="6"/>
      <c r="I79" s="8"/>
      <c r="J79" s="8" t="s">
        <v>382</v>
      </c>
      <c r="K79" s="6"/>
      <c r="L79" s="30">
        <f>L82+L93+L96+L98+L101+L122+L107+L116</f>
        <v>1923268.1700000002</v>
      </c>
      <c r="M79" s="30">
        <f>M82+M93+M96+M98+M101+M122+M126+M107+M116</f>
        <v>1673285.2</v>
      </c>
      <c r="N79" s="30">
        <f>N82+N93+N96+N98+N101+N122+N126+N107+N116</f>
        <v>1447287.2999999996</v>
      </c>
      <c r="O79" s="30">
        <f>O82+O93+O96+O98+O101+O122+O126+O107+O116</f>
        <v>1519651.7150000003</v>
      </c>
      <c r="P79" s="30">
        <f>P82+P93+P96+P98+P101+P122+P126+P107+P116</f>
        <v>1595634.2607499999</v>
      </c>
      <c r="Q79" s="30">
        <f>Q82+Q93+Q96+Q98+Q112+Q101+Q122+Q126+Q107+Q116</f>
        <v>1675442.2518750001</v>
      </c>
      <c r="R79" s="26">
        <v>1923268.1</v>
      </c>
      <c r="S79" s="56">
        <f>R79-L79</f>
        <v>-7.000000006519258E-2</v>
      </c>
    </row>
    <row r="80" spans="1:19" ht="25.5">
      <c r="A80" s="527"/>
      <c r="B80" s="527"/>
      <c r="C80" s="527"/>
      <c r="D80" s="518"/>
      <c r="E80" s="515"/>
      <c r="F80" s="1" t="s">
        <v>120</v>
      </c>
      <c r="G80" s="6">
        <v>855</v>
      </c>
      <c r="H80" s="6"/>
      <c r="I80" s="8"/>
      <c r="J80" s="8" t="s">
        <v>382</v>
      </c>
      <c r="K80" s="6"/>
      <c r="L80" s="30">
        <f>L102</f>
        <v>26527</v>
      </c>
      <c r="M80" s="30">
        <f t="shared" ref="M80:P81" si="11">M102</f>
        <v>57310.7</v>
      </c>
      <c r="N80" s="30">
        <f t="shared" si="11"/>
        <v>38353.300000000003</v>
      </c>
      <c r="O80" s="30">
        <f t="shared" si="11"/>
        <v>40270.965000000004</v>
      </c>
      <c r="P80" s="30">
        <f t="shared" si="11"/>
        <v>42284.513250000004</v>
      </c>
      <c r="Q80" s="30">
        <f t="shared" si="4"/>
        <v>44398.738912500005</v>
      </c>
    </row>
    <row r="81" spans="1:17" ht="38.25">
      <c r="A81" s="502"/>
      <c r="B81" s="502"/>
      <c r="C81" s="502"/>
      <c r="D81" s="504"/>
      <c r="E81" s="506"/>
      <c r="F81" s="1" t="s">
        <v>172</v>
      </c>
      <c r="G81" s="6">
        <v>835</v>
      </c>
      <c r="H81" s="6"/>
      <c r="I81" s="8"/>
      <c r="J81" s="8" t="s">
        <v>382</v>
      </c>
      <c r="K81" s="6"/>
      <c r="L81" s="30">
        <f>L103</f>
        <v>726.7</v>
      </c>
      <c r="M81" s="30">
        <f t="shared" si="11"/>
        <v>0</v>
      </c>
      <c r="N81" s="30">
        <f t="shared" si="11"/>
        <v>824.2</v>
      </c>
      <c r="O81" s="30">
        <f t="shared" si="11"/>
        <v>865.41000000000008</v>
      </c>
      <c r="P81" s="30">
        <f t="shared" si="11"/>
        <v>908.68050000000017</v>
      </c>
      <c r="Q81" s="30">
        <f t="shared" si="4"/>
        <v>954.11452500000019</v>
      </c>
    </row>
    <row r="82" spans="1:17" ht="38.25">
      <c r="A82" s="159" t="s">
        <v>110</v>
      </c>
      <c r="B82" s="159" t="s">
        <v>8</v>
      </c>
      <c r="C82" s="159" t="s">
        <v>7</v>
      </c>
      <c r="D82" s="6"/>
      <c r="E82" s="1" t="s">
        <v>470</v>
      </c>
      <c r="F82" s="1" t="s">
        <v>112</v>
      </c>
      <c r="G82" s="6">
        <v>843</v>
      </c>
      <c r="H82" s="6">
        <v>10</v>
      </c>
      <c r="I82" s="8" t="s">
        <v>9</v>
      </c>
      <c r="J82" s="8" t="s">
        <v>381</v>
      </c>
      <c r="K82" s="170" t="s">
        <v>472</v>
      </c>
      <c r="L82" s="32">
        <f>SUM(L83:L92)+0.05</f>
        <v>1149209.48</v>
      </c>
      <c r="M82" s="32">
        <f>SUM(M83:M92)</f>
        <v>1361448.9</v>
      </c>
      <c r="N82" s="32">
        <f>SUM(N83:N92)</f>
        <v>1248231.6999999997</v>
      </c>
      <c r="O82" s="32">
        <f>SUM(O83:O92)</f>
        <v>1310643.3350000002</v>
      </c>
      <c r="P82" s="32">
        <f>SUM(P83:P92)</f>
        <v>1376175.46175</v>
      </c>
      <c r="Q82" s="32">
        <f>SUM(Q83:Q92)</f>
        <v>1444984.2348375001</v>
      </c>
    </row>
    <row r="83" spans="1:17" ht="51" hidden="1" customHeight="1">
      <c r="A83" s="159" t="s">
        <v>110</v>
      </c>
      <c r="B83" s="159" t="s">
        <v>8</v>
      </c>
      <c r="C83" s="159" t="s">
        <v>7</v>
      </c>
      <c r="D83" s="8" t="s">
        <v>7</v>
      </c>
      <c r="E83" s="57" t="s">
        <v>192</v>
      </c>
      <c r="F83" s="139" t="s">
        <v>112</v>
      </c>
      <c r="G83" s="150">
        <v>843</v>
      </c>
      <c r="H83" s="140" t="s">
        <v>51</v>
      </c>
      <c r="I83" s="140" t="s">
        <v>9</v>
      </c>
      <c r="J83" s="7" t="s">
        <v>261</v>
      </c>
      <c r="K83" s="8" t="s">
        <v>383</v>
      </c>
      <c r="L83" s="32">
        <v>5824.17</v>
      </c>
      <c r="M83" s="32">
        <v>9000</v>
      </c>
      <c r="N83" s="30">
        <v>4995</v>
      </c>
      <c r="O83" s="30">
        <v>5244.8</v>
      </c>
      <c r="P83" s="30">
        <v>5507</v>
      </c>
      <c r="Q83" s="30">
        <f t="shared" si="4"/>
        <v>5782.35</v>
      </c>
    </row>
    <row r="84" spans="1:17" ht="38.25" hidden="1" customHeight="1">
      <c r="A84" s="159" t="s">
        <v>110</v>
      </c>
      <c r="B84" s="159" t="s">
        <v>8</v>
      </c>
      <c r="C84" s="159" t="s">
        <v>7</v>
      </c>
      <c r="D84" s="8" t="s">
        <v>8</v>
      </c>
      <c r="E84" s="160" t="s">
        <v>24</v>
      </c>
      <c r="F84" s="1" t="s">
        <v>112</v>
      </c>
      <c r="G84" s="6">
        <v>843</v>
      </c>
      <c r="H84" s="8" t="s">
        <v>51</v>
      </c>
      <c r="I84" s="8" t="s">
        <v>9</v>
      </c>
      <c r="J84" s="7" t="s">
        <v>262</v>
      </c>
      <c r="K84" s="170" t="s">
        <v>370</v>
      </c>
      <c r="L84" s="32">
        <v>320736.36</v>
      </c>
      <c r="M84" s="32">
        <f>348327.3+7781.9</f>
        <v>356109.2</v>
      </c>
      <c r="N84" s="30">
        <v>308969.09999999998</v>
      </c>
      <c r="O84" s="30">
        <f t="shared" ref="O84:Q99" si="12">N84*1.05</f>
        <v>324417.55499999999</v>
      </c>
      <c r="P84" s="30">
        <f t="shared" si="12"/>
        <v>340638.43274999998</v>
      </c>
      <c r="Q84" s="30">
        <f t="shared" si="4"/>
        <v>357670.35438749997</v>
      </c>
    </row>
    <row r="85" spans="1:17" ht="38.25" hidden="1" customHeight="1">
      <c r="A85" s="159" t="s">
        <v>110</v>
      </c>
      <c r="B85" s="159" t="s">
        <v>8</v>
      </c>
      <c r="C85" s="159" t="s">
        <v>7</v>
      </c>
      <c r="D85" s="8" t="s">
        <v>9</v>
      </c>
      <c r="E85" s="1" t="s">
        <v>263</v>
      </c>
      <c r="F85" s="1" t="s">
        <v>112</v>
      </c>
      <c r="G85" s="6">
        <v>843</v>
      </c>
      <c r="H85" s="8" t="s">
        <v>51</v>
      </c>
      <c r="I85" s="8" t="s">
        <v>9</v>
      </c>
      <c r="J85" s="7" t="s">
        <v>264</v>
      </c>
      <c r="K85" s="8" t="s">
        <v>370</v>
      </c>
      <c r="L85" s="32">
        <v>28086.7</v>
      </c>
      <c r="M85" s="32">
        <f>33203.6-3900</f>
        <v>29303.599999999999</v>
      </c>
      <c r="N85" s="30">
        <v>30824.5</v>
      </c>
      <c r="O85" s="30">
        <f t="shared" si="12"/>
        <v>32365.725000000002</v>
      </c>
      <c r="P85" s="30">
        <f t="shared" si="12"/>
        <v>33984.011250000003</v>
      </c>
      <c r="Q85" s="30">
        <f t="shared" si="4"/>
        <v>35683.211812500005</v>
      </c>
    </row>
    <row r="86" spans="1:17" ht="63.75" hidden="1" customHeight="1">
      <c r="A86" s="7" t="s">
        <v>110</v>
      </c>
      <c r="B86" s="8" t="s">
        <v>8</v>
      </c>
      <c r="C86" s="8" t="s">
        <v>7</v>
      </c>
      <c r="D86" s="7" t="s">
        <v>10</v>
      </c>
      <c r="E86" s="1" t="s">
        <v>265</v>
      </c>
      <c r="F86" s="1" t="s">
        <v>112</v>
      </c>
      <c r="G86" s="6">
        <v>843</v>
      </c>
      <c r="H86" s="8" t="s">
        <v>51</v>
      </c>
      <c r="I86" s="8" t="s">
        <v>9</v>
      </c>
      <c r="J86" s="7" t="s">
        <v>266</v>
      </c>
      <c r="K86" s="7" t="s">
        <v>384</v>
      </c>
      <c r="L86" s="32">
        <v>541542</v>
      </c>
      <c r="M86" s="32">
        <v>595812.19999999995</v>
      </c>
      <c r="N86" s="30">
        <f>14.7+593381.3</f>
        <v>593396</v>
      </c>
      <c r="O86" s="30">
        <f t="shared" si="12"/>
        <v>623065.80000000005</v>
      </c>
      <c r="P86" s="30">
        <f t="shared" si="12"/>
        <v>654219.09000000008</v>
      </c>
      <c r="Q86" s="30">
        <f t="shared" si="4"/>
        <v>686930.04450000008</v>
      </c>
    </row>
    <row r="87" spans="1:17" ht="63.75" hidden="1" customHeight="1">
      <c r="A87" s="7" t="s">
        <v>110</v>
      </c>
      <c r="B87" s="8" t="s">
        <v>8</v>
      </c>
      <c r="C87" s="8" t="s">
        <v>7</v>
      </c>
      <c r="D87" s="7" t="s">
        <v>33</v>
      </c>
      <c r="E87" s="1" t="s">
        <v>267</v>
      </c>
      <c r="F87" s="1" t="s">
        <v>112</v>
      </c>
      <c r="G87" s="6">
        <v>843</v>
      </c>
      <c r="H87" s="8" t="s">
        <v>51</v>
      </c>
      <c r="I87" s="8" t="s">
        <v>9</v>
      </c>
      <c r="J87" s="7" t="s">
        <v>268</v>
      </c>
      <c r="K87" s="7" t="s">
        <v>385</v>
      </c>
      <c r="L87" s="32">
        <v>55433.5</v>
      </c>
      <c r="M87" s="32">
        <f>1.3+52667</f>
        <v>52668.3</v>
      </c>
      <c r="N87" s="30">
        <f>1.3+54773.9</f>
        <v>54775.200000000004</v>
      </c>
      <c r="O87" s="30">
        <f t="shared" si="12"/>
        <v>57513.960000000006</v>
      </c>
      <c r="P87" s="30">
        <f t="shared" si="12"/>
        <v>60389.65800000001</v>
      </c>
      <c r="Q87" s="30">
        <f t="shared" si="4"/>
        <v>63409.140900000013</v>
      </c>
    </row>
    <row r="88" spans="1:17" ht="76.5" hidden="1" customHeight="1">
      <c r="A88" s="7" t="s">
        <v>110</v>
      </c>
      <c r="B88" s="8" t="s">
        <v>8</v>
      </c>
      <c r="C88" s="8" t="s">
        <v>7</v>
      </c>
      <c r="D88" s="7" t="s">
        <v>25</v>
      </c>
      <c r="E88" s="1" t="s">
        <v>269</v>
      </c>
      <c r="F88" s="1" t="s">
        <v>112</v>
      </c>
      <c r="G88" s="6">
        <v>843</v>
      </c>
      <c r="H88" s="8" t="s">
        <v>51</v>
      </c>
      <c r="I88" s="8" t="s">
        <v>9</v>
      </c>
      <c r="J88" s="7" t="s">
        <v>270</v>
      </c>
      <c r="K88" s="7" t="s">
        <v>386</v>
      </c>
      <c r="L88" s="32">
        <v>0</v>
      </c>
      <c r="M88" s="32">
        <v>1</v>
      </c>
      <c r="N88" s="30">
        <v>1.1000000000000001</v>
      </c>
      <c r="O88" s="30">
        <f t="shared" si="12"/>
        <v>1.1550000000000002</v>
      </c>
      <c r="P88" s="30">
        <f t="shared" si="12"/>
        <v>1.2127500000000002</v>
      </c>
      <c r="Q88" s="30">
        <f t="shared" si="4"/>
        <v>1.2733875000000003</v>
      </c>
    </row>
    <row r="89" spans="1:17" ht="63.75" hidden="1" customHeight="1">
      <c r="A89" s="7" t="s">
        <v>110</v>
      </c>
      <c r="B89" s="8" t="s">
        <v>8</v>
      </c>
      <c r="C89" s="8" t="s">
        <v>7</v>
      </c>
      <c r="D89" s="7" t="s">
        <v>6</v>
      </c>
      <c r="E89" s="1" t="s">
        <v>271</v>
      </c>
      <c r="F89" s="1" t="s">
        <v>112</v>
      </c>
      <c r="G89" s="6">
        <v>843</v>
      </c>
      <c r="H89" s="8" t="s">
        <v>51</v>
      </c>
      <c r="I89" s="8" t="s">
        <v>9</v>
      </c>
      <c r="J89" s="7" t="s">
        <v>273</v>
      </c>
      <c r="K89" s="7" t="s">
        <v>386</v>
      </c>
      <c r="L89" s="32">
        <v>0</v>
      </c>
      <c r="M89" s="32">
        <v>2.9</v>
      </c>
      <c r="N89" s="30">
        <v>3</v>
      </c>
      <c r="O89" s="30">
        <f t="shared" si="12"/>
        <v>3.1500000000000004</v>
      </c>
      <c r="P89" s="30">
        <f t="shared" si="12"/>
        <v>3.3075000000000006</v>
      </c>
      <c r="Q89" s="30">
        <f t="shared" si="4"/>
        <v>3.4728750000000006</v>
      </c>
    </row>
    <row r="90" spans="1:17" ht="37.5" hidden="1" customHeight="1">
      <c r="A90" s="146" t="s">
        <v>110</v>
      </c>
      <c r="B90" s="159" t="s">
        <v>8</v>
      </c>
      <c r="C90" s="146" t="s">
        <v>7</v>
      </c>
      <c r="D90" s="8" t="s">
        <v>34</v>
      </c>
      <c r="E90" s="44" t="s">
        <v>272</v>
      </c>
      <c r="F90" s="1" t="s">
        <v>112</v>
      </c>
      <c r="G90" s="6">
        <v>843</v>
      </c>
      <c r="H90" s="8" t="s">
        <v>51</v>
      </c>
      <c r="I90" s="8" t="s">
        <v>9</v>
      </c>
      <c r="J90" s="7" t="s">
        <v>274</v>
      </c>
      <c r="K90" s="7" t="s">
        <v>370</v>
      </c>
      <c r="L90" s="32">
        <v>181731.6</v>
      </c>
      <c r="M90" s="31">
        <f>255900+36931.8</f>
        <v>292831.8</v>
      </c>
      <c r="N90" s="30">
        <v>234035.7</v>
      </c>
      <c r="O90" s="30">
        <f t="shared" si="12"/>
        <v>245737.48500000002</v>
      </c>
      <c r="P90" s="30">
        <f t="shared" si="12"/>
        <v>258024.35925000004</v>
      </c>
      <c r="Q90" s="30">
        <f t="shared" si="4"/>
        <v>270925.57721250004</v>
      </c>
    </row>
    <row r="91" spans="1:17" ht="63" hidden="1" customHeight="1">
      <c r="A91" s="159" t="s">
        <v>110</v>
      </c>
      <c r="B91" s="159" t="s">
        <v>8</v>
      </c>
      <c r="C91" s="159" t="s">
        <v>7</v>
      </c>
      <c r="D91" s="8" t="s">
        <v>35</v>
      </c>
      <c r="E91" s="160" t="s">
        <v>275</v>
      </c>
      <c r="F91" s="1" t="s">
        <v>112</v>
      </c>
      <c r="G91" s="6">
        <v>843</v>
      </c>
      <c r="H91" s="144">
        <v>10</v>
      </c>
      <c r="I91" s="7" t="s">
        <v>9</v>
      </c>
      <c r="J91" s="7" t="s">
        <v>276</v>
      </c>
      <c r="K91" s="7" t="s">
        <v>370</v>
      </c>
      <c r="L91" s="32">
        <v>14715.9</v>
      </c>
      <c r="M91" s="31">
        <v>24438.9</v>
      </c>
      <c r="N91" s="30">
        <v>19952.400000000001</v>
      </c>
      <c r="O91" s="30">
        <f t="shared" si="12"/>
        <v>20950.020000000004</v>
      </c>
      <c r="P91" s="30">
        <f t="shared" si="12"/>
        <v>21997.521000000004</v>
      </c>
      <c r="Q91" s="30">
        <f t="shared" si="4"/>
        <v>23097.397050000007</v>
      </c>
    </row>
    <row r="92" spans="1:17" ht="51" hidden="1" customHeight="1">
      <c r="A92" s="159" t="s">
        <v>110</v>
      </c>
      <c r="B92" s="159" t="s">
        <v>8</v>
      </c>
      <c r="C92" s="159" t="s">
        <v>7</v>
      </c>
      <c r="D92" s="8" t="s">
        <v>51</v>
      </c>
      <c r="E92" s="160" t="s">
        <v>277</v>
      </c>
      <c r="F92" s="1" t="s">
        <v>112</v>
      </c>
      <c r="G92" s="6">
        <v>843</v>
      </c>
      <c r="H92" s="8" t="s">
        <v>51</v>
      </c>
      <c r="I92" s="8" t="s">
        <v>9</v>
      </c>
      <c r="J92" s="7" t="s">
        <v>278</v>
      </c>
      <c r="K92" s="7" t="s">
        <v>387</v>
      </c>
      <c r="L92" s="32">
        <v>1139.2</v>
      </c>
      <c r="M92" s="32">
        <v>1281</v>
      </c>
      <c r="N92" s="30">
        <v>1279.7</v>
      </c>
      <c r="O92" s="30">
        <f t="shared" si="12"/>
        <v>1343.6850000000002</v>
      </c>
      <c r="P92" s="30">
        <f t="shared" si="12"/>
        <v>1410.8692500000002</v>
      </c>
      <c r="Q92" s="30">
        <f t="shared" si="4"/>
        <v>1481.4127125000002</v>
      </c>
    </row>
    <row r="93" spans="1:17" ht="38.25">
      <c r="A93" s="159" t="s">
        <v>110</v>
      </c>
      <c r="B93" s="159" t="s">
        <v>8</v>
      </c>
      <c r="C93" s="159" t="s">
        <v>8</v>
      </c>
      <c r="D93" s="8"/>
      <c r="E93" s="160" t="s">
        <v>279</v>
      </c>
      <c r="F93" s="1" t="s">
        <v>112</v>
      </c>
      <c r="G93" s="6">
        <v>843</v>
      </c>
      <c r="H93" s="8" t="s">
        <v>51</v>
      </c>
      <c r="I93" s="8" t="s">
        <v>9</v>
      </c>
      <c r="J93" s="7" t="s">
        <v>280</v>
      </c>
      <c r="K93" s="7" t="s">
        <v>388</v>
      </c>
      <c r="L93" s="32">
        <f t="shared" ref="L93:Q93" si="13">L94+L95+L125</f>
        <v>1500</v>
      </c>
      <c r="M93" s="32">
        <f t="shared" si="13"/>
        <v>1575</v>
      </c>
      <c r="N93" s="32">
        <f t="shared" si="13"/>
        <v>1573.5</v>
      </c>
      <c r="O93" s="32">
        <f t="shared" si="13"/>
        <v>1652.1750000000002</v>
      </c>
      <c r="P93" s="32">
        <f t="shared" si="13"/>
        <v>1734.7837500000001</v>
      </c>
      <c r="Q93" s="32">
        <f t="shared" si="13"/>
        <v>1821.5229375000001</v>
      </c>
    </row>
    <row r="94" spans="1:17" ht="38.25" hidden="1" customHeight="1">
      <c r="A94" s="159" t="s">
        <v>110</v>
      </c>
      <c r="B94" s="159" t="s">
        <v>8</v>
      </c>
      <c r="C94" s="159" t="s">
        <v>8</v>
      </c>
      <c r="D94" s="7" t="s">
        <v>7</v>
      </c>
      <c r="E94" s="44" t="s">
        <v>281</v>
      </c>
      <c r="F94" s="1" t="s">
        <v>112</v>
      </c>
      <c r="G94" s="6">
        <v>843</v>
      </c>
      <c r="H94" s="8" t="s">
        <v>51</v>
      </c>
      <c r="I94" s="8" t="s">
        <v>9</v>
      </c>
      <c r="J94" s="7" t="s">
        <v>282</v>
      </c>
      <c r="K94" s="7" t="s">
        <v>370</v>
      </c>
      <c r="L94" s="32">
        <v>1020</v>
      </c>
      <c r="M94" s="32">
        <v>1050</v>
      </c>
      <c r="N94" s="30">
        <v>1049</v>
      </c>
      <c r="O94" s="30">
        <f t="shared" si="12"/>
        <v>1101.45</v>
      </c>
      <c r="P94" s="30">
        <f t="shared" si="12"/>
        <v>1156.5225</v>
      </c>
      <c r="Q94" s="30">
        <f t="shared" si="12"/>
        <v>1214.3486250000001</v>
      </c>
    </row>
    <row r="95" spans="1:17" ht="38.25" hidden="1" customHeight="1">
      <c r="A95" s="159" t="s">
        <v>110</v>
      </c>
      <c r="B95" s="159" t="s">
        <v>8</v>
      </c>
      <c r="C95" s="159" t="s">
        <v>8</v>
      </c>
      <c r="D95" s="7" t="s">
        <v>8</v>
      </c>
      <c r="E95" s="44" t="s">
        <v>283</v>
      </c>
      <c r="F95" s="1" t="s">
        <v>112</v>
      </c>
      <c r="G95" s="6">
        <v>843</v>
      </c>
      <c r="H95" s="8" t="s">
        <v>51</v>
      </c>
      <c r="I95" s="8" t="s">
        <v>9</v>
      </c>
      <c r="J95" s="7" t="s">
        <v>284</v>
      </c>
      <c r="K95" s="7" t="s">
        <v>388</v>
      </c>
      <c r="L95" s="32"/>
      <c r="M95" s="31">
        <v>525</v>
      </c>
      <c r="N95" s="30">
        <v>524.5</v>
      </c>
      <c r="O95" s="30">
        <f>N95*1.05</f>
        <v>550.72500000000002</v>
      </c>
      <c r="P95" s="30">
        <f>O95*1.05</f>
        <v>578.26125000000002</v>
      </c>
      <c r="Q95" s="30">
        <f t="shared" si="12"/>
        <v>607.17431250000004</v>
      </c>
    </row>
    <row r="96" spans="1:17" ht="38.25">
      <c r="A96" s="159" t="s">
        <v>110</v>
      </c>
      <c r="B96" s="159" t="s">
        <v>8</v>
      </c>
      <c r="C96" s="159" t="s">
        <v>9</v>
      </c>
      <c r="D96" s="142"/>
      <c r="E96" s="44" t="s">
        <v>394</v>
      </c>
      <c r="F96" s="1" t="s">
        <v>112</v>
      </c>
      <c r="G96" s="6">
        <v>843</v>
      </c>
      <c r="H96" s="8" t="s">
        <v>51</v>
      </c>
      <c r="I96" s="8" t="s">
        <v>9</v>
      </c>
      <c r="J96" s="7" t="s">
        <v>285</v>
      </c>
      <c r="K96" s="8" t="s">
        <v>473</v>
      </c>
      <c r="L96" s="32">
        <f t="shared" ref="L96:Q96" si="14">L97</f>
        <v>7849.5</v>
      </c>
      <c r="M96" s="32">
        <f t="shared" si="14"/>
        <v>9168.2999999999993</v>
      </c>
      <c r="N96" s="32">
        <f t="shared" si="14"/>
        <v>6590.2</v>
      </c>
      <c r="O96" s="32">
        <f t="shared" si="14"/>
        <v>6919.71</v>
      </c>
      <c r="P96" s="32">
        <f t="shared" si="14"/>
        <v>7265.6955000000007</v>
      </c>
      <c r="Q96" s="32">
        <f t="shared" si="14"/>
        <v>7628.9802750000008</v>
      </c>
    </row>
    <row r="97" spans="1:17" ht="51" hidden="1" customHeight="1">
      <c r="A97" s="146" t="s">
        <v>110</v>
      </c>
      <c r="B97" s="159" t="s">
        <v>8</v>
      </c>
      <c r="C97" s="146" t="s">
        <v>9</v>
      </c>
      <c r="D97" s="7" t="s">
        <v>7</v>
      </c>
      <c r="E97" s="44" t="s">
        <v>191</v>
      </c>
      <c r="F97" s="1" t="s">
        <v>112</v>
      </c>
      <c r="G97" s="6">
        <v>843</v>
      </c>
      <c r="H97" s="7" t="s">
        <v>6</v>
      </c>
      <c r="I97" s="8" t="s">
        <v>6</v>
      </c>
      <c r="J97" s="7" t="s">
        <v>286</v>
      </c>
      <c r="K97" s="170">
        <v>621</v>
      </c>
      <c r="L97" s="32">
        <v>7849.5</v>
      </c>
      <c r="M97" s="32">
        <f>8503+665.3</f>
        <v>9168.2999999999993</v>
      </c>
      <c r="N97" s="30">
        <v>6590.2</v>
      </c>
      <c r="O97" s="30">
        <f>N97*1.05</f>
        <v>6919.71</v>
      </c>
      <c r="P97" s="30">
        <f>O97*1.05</f>
        <v>7265.6955000000007</v>
      </c>
      <c r="Q97" s="30">
        <f t="shared" si="12"/>
        <v>7628.9802750000008</v>
      </c>
    </row>
    <row r="98" spans="1:17" ht="38.25">
      <c r="A98" s="159" t="s">
        <v>110</v>
      </c>
      <c r="B98" s="159" t="s">
        <v>8</v>
      </c>
      <c r="C98" s="159" t="s">
        <v>10</v>
      </c>
      <c r="D98" s="6"/>
      <c r="E98" s="44" t="s">
        <v>287</v>
      </c>
      <c r="F98" s="1" t="s">
        <v>112</v>
      </c>
      <c r="G98" s="6">
        <v>843</v>
      </c>
      <c r="H98" s="6">
        <v>10</v>
      </c>
      <c r="I98" s="8" t="s">
        <v>10</v>
      </c>
      <c r="J98" s="8" t="s">
        <v>288</v>
      </c>
      <c r="K98" s="6">
        <v>240</v>
      </c>
      <c r="L98" s="32">
        <f t="shared" ref="L98:Q98" si="15">SUM(L99:L100)</f>
        <v>0</v>
      </c>
      <c r="M98" s="32">
        <f t="shared" si="15"/>
        <v>146.6</v>
      </c>
      <c r="N98" s="32">
        <f t="shared" si="15"/>
        <v>149.5</v>
      </c>
      <c r="O98" s="32">
        <f t="shared" si="15"/>
        <v>156.97500000000002</v>
      </c>
      <c r="P98" s="32">
        <f t="shared" si="15"/>
        <v>164.82375000000002</v>
      </c>
      <c r="Q98" s="32">
        <f t="shared" si="15"/>
        <v>173.06493750000001</v>
      </c>
    </row>
    <row r="99" spans="1:17" ht="178.5" hidden="1" customHeight="1">
      <c r="A99" s="159" t="s">
        <v>110</v>
      </c>
      <c r="B99" s="159" t="s">
        <v>8</v>
      </c>
      <c r="C99" s="159" t="s">
        <v>10</v>
      </c>
      <c r="D99" s="8" t="s">
        <v>7</v>
      </c>
      <c r="E99" s="44" t="s">
        <v>289</v>
      </c>
      <c r="F99" s="1" t="s">
        <v>112</v>
      </c>
      <c r="G99" s="6">
        <v>843</v>
      </c>
      <c r="H99" s="144">
        <v>10</v>
      </c>
      <c r="I99" s="8" t="s">
        <v>10</v>
      </c>
      <c r="J99" s="7" t="s">
        <v>290</v>
      </c>
      <c r="K99" s="170" t="s">
        <v>389</v>
      </c>
      <c r="L99" s="32">
        <v>0</v>
      </c>
      <c r="M99" s="31">
        <v>137.5</v>
      </c>
      <c r="N99" s="30">
        <v>137.4</v>
      </c>
      <c r="O99" s="30">
        <f t="shared" ref="O99:Q114" si="16">N99*1.05</f>
        <v>144.27000000000001</v>
      </c>
      <c r="P99" s="30">
        <f t="shared" si="16"/>
        <v>151.48350000000002</v>
      </c>
      <c r="Q99" s="30">
        <f t="shared" si="12"/>
        <v>159.05767500000002</v>
      </c>
    </row>
    <row r="100" spans="1:17" ht="76.5" hidden="1" customHeight="1">
      <c r="A100" s="159" t="s">
        <v>110</v>
      </c>
      <c r="B100" s="159" t="s">
        <v>8</v>
      </c>
      <c r="C100" s="159" t="s">
        <v>10</v>
      </c>
      <c r="D100" s="8" t="s">
        <v>8</v>
      </c>
      <c r="E100" s="44" t="s">
        <v>292</v>
      </c>
      <c r="F100" s="1" t="s">
        <v>112</v>
      </c>
      <c r="G100" s="6">
        <v>843</v>
      </c>
      <c r="H100" s="144">
        <v>10</v>
      </c>
      <c r="I100" s="8" t="s">
        <v>10</v>
      </c>
      <c r="J100" s="7" t="s">
        <v>291</v>
      </c>
      <c r="K100" s="170" t="s">
        <v>390</v>
      </c>
      <c r="L100" s="32">
        <v>0</v>
      </c>
      <c r="M100" s="31">
        <f>12.1-3</f>
        <v>9.1</v>
      </c>
      <c r="N100" s="30">
        <v>12.1</v>
      </c>
      <c r="O100" s="30">
        <f t="shared" si="16"/>
        <v>12.705</v>
      </c>
      <c r="P100" s="30">
        <f t="shared" si="16"/>
        <v>13.340250000000001</v>
      </c>
      <c r="Q100" s="30">
        <f t="shared" si="16"/>
        <v>14.007262500000001</v>
      </c>
    </row>
    <row r="101" spans="1:17" ht="38.25">
      <c r="A101" s="516" t="s">
        <v>110</v>
      </c>
      <c r="B101" s="516" t="s">
        <v>8</v>
      </c>
      <c r="C101" s="516" t="s">
        <v>25</v>
      </c>
      <c r="D101" s="516"/>
      <c r="E101" s="519" t="s">
        <v>295</v>
      </c>
      <c r="F101" s="1" t="s">
        <v>112</v>
      </c>
      <c r="G101" s="6">
        <v>843</v>
      </c>
      <c r="H101" s="7" t="s">
        <v>51</v>
      </c>
      <c r="I101" s="8" t="s">
        <v>9</v>
      </c>
      <c r="J101" s="7" t="s">
        <v>474</v>
      </c>
      <c r="K101" s="170" t="s">
        <v>475</v>
      </c>
      <c r="L101" s="32">
        <f>34881.7+L114+L115-7098.6</f>
        <v>280579.20000000007</v>
      </c>
      <c r="M101" s="31">
        <f>M104+M105+M106</f>
        <v>299669.2</v>
      </c>
      <c r="N101" s="31">
        <f>N104+N105+N106</f>
        <v>190144.19999999998</v>
      </c>
      <c r="O101" s="31">
        <f>O104+O105+O106</f>
        <v>199651.41</v>
      </c>
      <c r="P101" s="31">
        <f>P104+P105+P106</f>
        <v>209633.98050000001</v>
      </c>
      <c r="Q101" s="31">
        <f>Q104+Q105+Q106</f>
        <v>220115.67952500001</v>
      </c>
    </row>
    <row r="102" spans="1:17" ht="25.5">
      <c r="A102" s="517"/>
      <c r="B102" s="517"/>
      <c r="C102" s="517"/>
      <c r="D102" s="517"/>
      <c r="E102" s="520"/>
      <c r="F102" s="1" t="s">
        <v>120</v>
      </c>
      <c r="G102" s="6">
        <v>855</v>
      </c>
      <c r="H102" s="7" t="s">
        <v>35</v>
      </c>
      <c r="I102" s="8" t="s">
        <v>35</v>
      </c>
      <c r="J102" s="7" t="s">
        <v>476</v>
      </c>
      <c r="K102" s="170">
        <v>320</v>
      </c>
      <c r="L102" s="32">
        <v>26527</v>
      </c>
      <c r="M102" s="31">
        <v>57310.7</v>
      </c>
      <c r="N102" s="30">
        <v>38353.300000000003</v>
      </c>
      <c r="O102" s="30">
        <f t="shared" si="16"/>
        <v>40270.965000000004</v>
      </c>
      <c r="P102" s="30">
        <f t="shared" si="16"/>
        <v>42284.513250000004</v>
      </c>
      <c r="Q102" s="30">
        <f t="shared" si="16"/>
        <v>44398.738912500005</v>
      </c>
    </row>
    <row r="103" spans="1:17" ht="38.25">
      <c r="A103" s="664"/>
      <c r="B103" s="664"/>
      <c r="C103" s="664"/>
      <c r="D103" s="664"/>
      <c r="E103" s="665"/>
      <c r="F103" s="1" t="s">
        <v>172</v>
      </c>
      <c r="G103" s="6">
        <v>835</v>
      </c>
      <c r="H103" s="7" t="s">
        <v>69</v>
      </c>
      <c r="I103" s="8" t="s">
        <v>10</v>
      </c>
      <c r="J103" s="7" t="s">
        <v>477</v>
      </c>
      <c r="K103" s="170">
        <v>320</v>
      </c>
      <c r="L103" s="32">
        <f>545+181.7</f>
        <v>726.7</v>
      </c>
      <c r="M103" s="31">
        <v>0</v>
      </c>
      <c r="N103" s="30">
        <v>824.2</v>
      </c>
      <c r="O103" s="30">
        <f t="shared" si="16"/>
        <v>865.41000000000008</v>
      </c>
      <c r="P103" s="30">
        <f t="shared" si="16"/>
        <v>908.68050000000017</v>
      </c>
      <c r="Q103" s="30">
        <f t="shared" si="16"/>
        <v>954.11452500000019</v>
      </c>
    </row>
    <row r="104" spans="1:17" ht="38.25" hidden="1" customHeight="1">
      <c r="A104" s="58" t="s">
        <v>110</v>
      </c>
      <c r="B104" s="58" t="s">
        <v>8</v>
      </c>
      <c r="C104" s="58" t="s">
        <v>25</v>
      </c>
      <c r="D104" s="58" t="s">
        <v>7</v>
      </c>
      <c r="E104" s="44" t="s">
        <v>296</v>
      </c>
      <c r="F104" s="1" t="s">
        <v>112</v>
      </c>
      <c r="G104" s="6">
        <v>843</v>
      </c>
      <c r="H104" s="7" t="s">
        <v>51</v>
      </c>
      <c r="I104" s="8" t="s">
        <v>9</v>
      </c>
      <c r="J104" s="7" t="s">
        <v>297</v>
      </c>
      <c r="K104" s="170" t="s">
        <v>391</v>
      </c>
      <c r="L104" s="32"/>
      <c r="M104" s="31">
        <f>6672-205.5</f>
        <v>6466.5</v>
      </c>
      <c r="N104" s="30">
        <f>635.8+7039</f>
        <v>7674.8</v>
      </c>
      <c r="O104" s="30">
        <f t="shared" si="16"/>
        <v>8058.5400000000009</v>
      </c>
      <c r="P104" s="30">
        <f t="shared" si="16"/>
        <v>8461.4670000000006</v>
      </c>
      <c r="Q104" s="30">
        <f t="shared" si="16"/>
        <v>8884.5403500000011</v>
      </c>
    </row>
    <row r="105" spans="1:17" ht="38.25" hidden="1" customHeight="1">
      <c r="A105" s="58" t="s">
        <v>110</v>
      </c>
      <c r="B105" s="58" t="s">
        <v>8</v>
      </c>
      <c r="C105" s="58" t="s">
        <v>25</v>
      </c>
      <c r="D105" s="58" t="s">
        <v>8</v>
      </c>
      <c r="E105" s="44" t="s">
        <v>298</v>
      </c>
      <c r="F105" s="1" t="s">
        <v>112</v>
      </c>
      <c r="G105" s="6">
        <v>843</v>
      </c>
      <c r="H105" s="7" t="s">
        <v>51</v>
      </c>
      <c r="I105" s="8" t="s">
        <v>10</v>
      </c>
      <c r="J105" s="7" t="s">
        <v>300</v>
      </c>
      <c r="K105" s="170">
        <v>530</v>
      </c>
      <c r="L105" s="32"/>
      <c r="M105" s="31">
        <f>245582.7-2100+29719</f>
        <v>273201.7</v>
      </c>
      <c r="N105" s="30">
        <f>149263.8+13205.6</f>
        <v>162469.4</v>
      </c>
      <c r="O105" s="30">
        <f t="shared" si="16"/>
        <v>170592.87</v>
      </c>
      <c r="P105" s="30">
        <f t="shared" si="16"/>
        <v>179122.5135</v>
      </c>
      <c r="Q105" s="30">
        <f t="shared" si="16"/>
        <v>188078.63917500002</v>
      </c>
    </row>
    <row r="106" spans="1:17" ht="63.75" hidden="1" customHeight="1">
      <c r="A106" s="58" t="s">
        <v>110</v>
      </c>
      <c r="B106" s="58" t="s">
        <v>8</v>
      </c>
      <c r="C106" s="58" t="s">
        <v>25</v>
      </c>
      <c r="D106" s="58" t="s">
        <v>9</v>
      </c>
      <c r="E106" s="44" t="s">
        <v>299</v>
      </c>
      <c r="F106" s="1" t="s">
        <v>112</v>
      </c>
      <c r="G106" s="6">
        <v>843</v>
      </c>
      <c r="H106" s="7" t="s">
        <v>51</v>
      </c>
      <c r="I106" s="8" t="s">
        <v>9</v>
      </c>
      <c r="J106" s="7" t="s">
        <v>301</v>
      </c>
      <c r="K106" s="170">
        <v>530</v>
      </c>
      <c r="L106" s="32"/>
      <c r="M106" s="187">
        <v>20001</v>
      </c>
      <c r="N106" s="31">
        <f>763+731+594+739+450+328+422+904+812+207+361+842+382+216+368+781+904+514+845+290+1367+406+282+664+370+2846+570+514+749+779</f>
        <v>20000</v>
      </c>
      <c r="O106" s="30">
        <f t="shared" si="16"/>
        <v>21000</v>
      </c>
      <c r="P106" s="30">
        <f t="shared" si="16"/>
        <v>22050</v>
      </c>
      <c r="Q106" s="30">
        <f t="shared" si="16"/>
        <v>23152.5</v>
      </c>
    </row>
    <row r="107" spans="1:17" ht="38.25">
      <c r="A107" s="149" t="s">
        <v>110</v>
      </c>
      <c r="B107" s="149" t="s">
        <v>8</v>
      </c>
      <c r="C107" s="149" t="s">
        <v>6</v>
      </c>
      <c r="D107" s="149"/>
      <c r="E107" s="44" t="s">
        <v>302</v>
      </c>
      <c r="F107" s="1" t="s">
        <v>112</v>
      </c>
      <c r="G107" s="6">
        <v>843</v>
      </c>
      <c r="H107" s="7" t="s">
        <v>51</v>
      </c>
      <c r="I107" s="8" t="s">
        <v>8</v>
      </c>
      <c r="J107" s="7" t="s">
        <v>307</v>
      </c>
      <c r="K107" s="170">
        <v>320</v>
      </c>
      <c r="L107" s="31">
        <f t="shared" ref="L107:Q107" si="17">L108+L109+L110+L111</f>
        <v>0</v>
      </c>
      <c r="M107" s="31">
        <f t="shared" si="17"/>
        <v>1277.2</v>
      </c>
      <c r="N107" s="31">
        <f t="shared" si="17"/>
        <v>598.20000000000005</v>
      </c>
      <c r="O107" s="31">
        <f t="shared" si="17"/>
        <v>628.11</v>
      </c>
      <c r="P107" s="31">
        <f t="shared" si="17"/>
        <v>659.51550000000009</v>
      </c>
      <c r="Q107" s="31">
        <f t="shared" si="17"/>
        <v>692.49127500000009</v>
      </c>
    </row>
    <row r="108" spans="1:17" ht="38.25" hidden="1" customHeight="1">
      <c r="A108" s="149" t="s">
        <v>110</v>
      </c>
      <c r="B108" s="149" t="s">
        <v>8</v>
      </c>
      <c r="C108" s="149" t="s">
        <v>6</v>
      </c>
      <c r="D108" s="149" t="s">
        <v>7</v>
      </c>
      <c r="E108" s="44" t="s">
        <v>303</v>
      </c>
      <c r="F108" s="1" t="s">
        <v>112</v>
      </c>
      <c r="G108" s="6">
        <v>843</v>
      </c>
      <c r="H108" s="7" t="s">
        <v>51</v>
      </c>
      <c r="I108" s="8" t="s">
        <v>8</v>
      </c>
      <c r="J108" s="7" t="s">
        <v>308</v>
      </c>
      <c r="K108" s="170">
        <v>320</v>
      </c>
      <c r="L108" s="48"/>
      <c r="M108" s="32">
        <v>254.4</v>
      </c>
      <c r="N108" s="30">
        <v>166</v>
      </c>
      <c r="O108" s="30">
        <f t="shared" ref="O108:P111" si="18">N108*1.05</f>
        <v>174.3</v>
      </c>
      <c r="P108" s="30">
        <f t="shared" si="18"/>
        <v>183.01500000000001</v>
      </c>
      <c r="Q108" s="30">
        <f t="shared" si="16"/>
        <v>192.16575000000003</v>
      </c>
    </row>
    <row r="109" spans="1:17" ht="51" hidden="1" customHeight="1">
      <c r="A109" s="149" t="s">
        <v>110</v>
      </c>
      <c r="B109" s="149" t="s">
        <v>8</v>
      </c>
      <c r="C109" s="149" t="s">
        <v>6</v>
      </c>
      <c r="D109" s="149" t="s">
        <v>8</v>
      </c>
      <c r="E109" s="44" t="s">
        <v>304</v>
      </c>
      <c r="F109" s="1" t="s">
        <v>112</v>
      </c>
      <c r="G109" s="6">
        <v>843</v>
      </c>
      <c r="H109" s="7" t="s">
        <v>51</v>
      </c>
      <c r="I109" s="8" t="s">
        <v>8</v>
      </c>
      <c r="J109" s="7" t="s">
        <v>309</v>
      </c>
      <c r="K109" s="170">
        <v>320</v>
      </c>
      <c r="L109" s="48"/>
      <c r="M109" s="32">
        <v>976.7</v>
      </c>
      <c r="N109" s="30">
        <v>247.8</v>
      </c>
      <c r="O109" s="30">
        <f t="shared" si="18"/>
        <v>260.19</v>
      </c>
      <c r="P109" s="30">
        <f t="shared" si="18"/>
        <v>273.1995</v>
      </c>
      <c r="Q109" s="30">
        <f t="shared" si="16"/>
        <v>286.85947500000003</v>
      </c>
    </row>
    <row r="110" spans="1:17" ht="51" hidden="1" customHeight="1">
      <c r="A110" s="149" t="s">
        <v>110</v>
      </c>
      <c r="B110" s="149" t="s">
        <v>8</v>
      </c>
      <c r="C110" s="149" t="s">
        <v>6</v>
      </c>
      <c r="D110" s="149" t="s">
        <v>9</v>
      </c>
      <c r="E110" s="44" t="s">
        <v>305</v>
      </c>
      <c r="F110" s="1" t="s">
        <v>112</v>
      </c>
      <c r="G110" s="6">
        <v>843</v>
      </c>
      <c r="H110" s="7" t="s">
        <v>51</v>
      </c>
      <c r="I110" s="8" t="s">
        <v>8</v>
      </c>
      <c r="J110" s="7" t="s">
        <v>310</v>
      </c>
      <c r="K110" s="170">
        <v>320</v>
      </c>
      <c r="L110" s="48"/>
      <c r="M110" s="32">
        <v>3</v>
      </c>
      <c r="N110" s="30">
        <v>184.4</v>
      </c>
      <c r="O110" s="30">
        <f t="shared" si="18"/>
        <v>193.62</v>
      </c>
      <c r="P110" s="30">
        <f t="shared" si="18"/>
        <v>203.30100000000002</v>
      </c>
      <c r="Q110" s="30">
        <f t="shared" si="16"/>
        <v>213.46605000000002</v>
      </c>
    </row>
    <row r="111" spans="1:17" ht="38.25" hidden="1" customHeight="1">
      <c r="A111" s="149" t="s">
        <v>110</v>
      </c>
      <c r="B111" s="149" t="s">
        <v>8</v>
      </c>
      <c r="C111" s="149" t="s">
        <v>6</v>
      </c>
      <c r="D111" s="149" t="s">
        <v>10</v>
      </c>
      <c r="E111" s="44" t="s">
        <v>306</v>
      </c>
      <c r="F111" s="1" t="s">
        <v>112</v>
      </c>
      <c r="G111" s="6">
        <v>843</v>
      </c>
      <c r="H111" s="7" t="s">
        <v>51</v>
      </c>
      <c r="I111" s="8" t="s">
        <v>8</v>
      </c>
      <c r="J111" s="7" t="s">
        <v>311</v>
      </c>
      <c r="K111" s="170">
        <v>320</v>
      </c>
      <c r="L111" s="32"/>
      <c r="M111" s="31">
        <v>43.1</v>
      </c>
      <c r="N111" s="31">
        <v>0</v>
      </c>
      <c r="O111" s="30">
        <f t="shared" si="18"/>
        <v>0</v>
      </c>
      <c r="P111" s="30">
        <f t="shared" si="18"/>
        <v>0</v>
      </c>
      <c r="Q111" s="30">
        <f t="shared" si="16"/>
        <v>0</v>
      </c>
    </row>
    <row r="112" spans="1:17" s="18" customFormat="1" ht="40.5" hidden="1" customHeight="1">
      <c r="A112" s="8"/>
      <c r="B112" s="8"/>
      <c r="C112" s="140"/>
      <c r="D112" s="140"/>
      <c r="E112" s="1" t="s">
        <v>293</v>
      </c>
      <c r="F112" s="1" t="s">
        <v>112</v>
      </c>
      <c r="G112" s="6">
        <v>843</v>
      </c>
      <c r="H112" s="7" t="s">
        <v>6</v>
      </c>
      <c r="I112" s="8" t="s">
        <v>6</v>
      </c>
      <c r="J112" s="7" t="s">
        <v>158</v>
      </c>
      <c r="K112" s="170">
        <v>622</v>
      </c>
      <c r="L112" s="32">
        <v>0</v>
      </c>
      <c r="M112" s="53">
        <v>0</v>
      </c>
      <c r="N112" s="165">
        <v>22.7</v>
      </c>
      <c r="O112" s="165">
        <f>N112*1.05</f>
        <v>23.835000000000001</v>
      </c>
      <c r="P112" s="165">
        <f>O112*1.05</f>
        <v>25.026750000000003</v>
      </c>
      <c r="Q112" s="166">
        <f t="shared" si="16"/>
        <v>26.278087500000005</v>
      </c>
    </row>
    <row r="113" spans="1:19" ht="63.75" hidden="1" customHeight="1">
      <c r="A113" s="146"/>
      <c r="B113" s="146"/>
      <c r="C113" s="146"/>
      <c r="D113" s="140"/>
      <c r="E113" s="1" t="s">
        <v>113</v>
      </c>
      <c r="F113" s="1" t="s">
        <v>112</v>
      </c>
      <c r="G113" s="6">
        <v>843</v>
      </c>
      <c r="H113" s="7"/>
      <c r="I113" s="8"/>
      <c r="J113" s="7"/>
      <c r="K113" s="170"/>
      <c r="L113" s="32">
        <f t="shared" ref="L113:Q113" si="19">L114+L115</f>
        <v>252796.1</v>
      </c>
      <c r="M113" s="32">
        <f t="shared" si="19"/>
        <v>0</v>
      </c>
      <c r="N113" s="32">
        <f t="shared" si="19"/>
        <v>0</v>
      </c>
      <c r="O113" s="32">
        <f t="shared" si="19"/>
        <v>0</v>
      </c>
      <c r="P113" s="32">
        <f t="shared" si="19"/>
        <v>0</v>
      </c>
      <c r="Q113" s="32">
        <f t="shared" si="19"/>
        <v>0</v>
      </c>
    </row>
    <row r="114" spans="1:19" ht="38.25" hidden="1" customHeight="1">
      <c r="A114" s="146"/>
      <c r="B114" s="146"/>
      <c r="C114" s="146"/>
      <c r="D114" s="140"/>
      <c r="E114" s="1" t="s">
        <v>121</v>
      </c>
      <c r="F114" s="1" t="s">
        <v>112</v>
      </c>
      <c r="G114" s="6">
        <v>843</v>
      </c>
      <c r="H114" s="7" t="s">
        <v>7</v>
      </c>
      <c r="I114" s="8" t="s">
        <v>10</v>
      </c>
      <c r="J114" s="7" t="s">
        <v>165</v>
      </c>
      <c r="K114" s="170">
        <v>530</v>
      </c>
      <c r="L114" s="32">
        <v>231449.7</v>
      </c>
      <c r="M114" s="53">
        <v>0</v>
      </c>
      <c r="N114" s="54">
        <v>0</v>
      </c>
      <c r="O114" s="54">
        <f>N114*1.05</f>
        <v>0</v>
      </c>
      <c r="P114" s="54">
        <f>O114*1.05</f>
        <v>0</v>
      </c>
      <c r="Q114" s="30">
        <f t="shared" si="16"/>
        <v>0</v>
      </c>
    </row>
    <row r="115" spans="1:19" ht="51" hidden="1" customHeight="1">
      <c r="A115" s="146"/>
      <c r="B115" s="146"/>
      <c r="C115" s="146"/>
      <c r="D115" s="140"/>
      <c r="E115" s="1" t="s">
        <v>122</v>
      </c>
      <c r="F115" s="1" t="s">
        <v>112</v>
      </c>
      <c r="G115" s="6">
        <v>843</v>
      </c>
      <c r="H115" s="7" t="s">
        <v>51</v>
      </c>
      <c r="I115" s="8" t="s">
        <v>10</v>
      </c>
      <c r="J115" s="7" t="s">
        <v>159</v>
      </c>
      <c r="K115" s="170">
        <v>530</v>
      </c>
      <c r="L115" s="32">
        <v>21346.400000000001</v>
      </c>
      <c r="M115" s="53">
        <v>0</v>
      </c>
      <c r="N115" s="54">
        <v>0</v>
      </c>
      <c r="O115" s="54">
        <f>N115*1.05</f>
        <v>0</v>
      </c>
      <c r="P115" s="54">
        <f>O115*1.05</f>
        <v>0</v>
      </c>
      <c r="Q115" s="30">
        <f>P115*1.05</f>
        <v>0</v>
      </c>
    </row>
    <row r="116" spans="1:19" ht="38.25">
      <c r="A116" s="146"/>
      <c r="B116" s="146"/>
      <c r="C116" s="146"/>
      <c r="D116" s="140"/>
      <c r="E116" s="1" t="s">
        <v>114</v>
      </c>
      <c r="F116" s="1" t="s">
        <v>112</v>
      </c>
      <c r="G116" s="6">
        <v>843</v>
      </c>
      <c r="H116" s="7" t="s">
        <v>51</v>
      </c>
      <c r="I116" s="8" t="s">
        <v>10</v>
      </c>
      <c r="J116" s="7" t="s">
        <v>495</v>
      </c>
      <c r="K116" s="170" t="s">
        <v>496</v>
      </c>
      <c r="L116" s="32">
        <f t="shared" ref="L116:Q116" si="20">SUM(L117:L121)</f>
        <v>95942.16</v>
      </c>
      <c r="M116" s="32">
        <f t="shared" si="20"/>
        <v>0</v>
      </c>
      <c r="N116" s="32">
        <f t="shared" si="20"/>
        <v>0</v>
      </c>
      <c r="O116" s="32">
        <f t="shared" si="20"/>
        <v>0</v>
      </c>
      <c r="P116" s="32">
        <f t="shared" si="20"/>
        <v>0</v>
      </c>
      <c r="Q116" s="32">
        <f t="shared" si="20"/>
        <v>0</v>
      </c>
    </row>
    <row r="117" spans="1:19" s="106" customFormat="1" ht="15.75" hidden="1" customHeight="1">
      <c r="A117" s="666"/>
      <c r="B117" s="666"/>
      <c r="C117" s="666"/>
      <c r="D117" s="666"/>
      <c r="E117" s="668" t="s">
        <v>123</v>
      </c>
      <c r="F117" s="673" t="s">
        <v>112</v>
      </c>
      <c r="G117" s="671">
        <v>843</v>
      </c>
      <c r="H117" s="104" t="s">
        <v>51</v>
      </c>
      <c r="I117" s="105" t="s">
        <v>10</v>
      </c>
      <c r="J117" s="104" t="s">
        <v>166</v>
      </c>
      <c r="K117" s="170">
        <v>530</v>
      </c>
      <c r="L117" s="32">
        <v>16391.5</v>
      </c>
      <c r="M117" s="53">
        <v>0</v>
      </c>
      <c r="N117" s="107">
        <v>0</v>
      </c>
      <c r="O117" s="107">
        <f t="shared" ref="O117:P121" si="21">N117*1.05</f>
        <v>0</v>
      </c>
      <c r="P117" s="107">
        <f t="shared" si="21"/>
        <v>0</v>
      </c>
      <c r="Q117" s="108">
        <f>P117*1.05</f>
        <v>0</v>
      </c>
    </row>
    <row r="118" spans="1:19" s="106" customFormat="1" ht="24.75" hidden="1" customHeight="1">
      <c r="A118" s="667"/>
      <c r="B118" s="667"/>
      <c r="C118" s="667"/>
      <c r="D118" s="667"/>
      <c r="E118" s="669"/>
      <c r="F118" s="674"/>
      <c r="G118" s="672"/>
      <c r="H118" s="104" t="s">
        <v>51</v>
      </c>
      <c r="I118" s="105" t="s">
        <v>10</v>
      </c>
      <c r="J118" s="104" t="s">
        <v>167</v>
      </c>
      <c r="K118" s="170">
        <v>530</v>
      </c>
      <c r="L118" s="32">
        <v>320</v>
      </c>
      <c r="M118" s="53">
        <v>0</v>
      </c>
      <c r="N118" s="107">
        <v>0</v>
      </c>
      <c r="O118" s="107">
        <f t="shared" si="21"/>
        <v>0</v>
      </c>
      <c r="P118" s="107">
        <f t="shared" si="21"/>
        <v>0</v>
      </c>
      <c r="Q118" s="108">
        <f>P118*1.05</f>
        <v>0</v>
      </c>
    </row>
    <row r="119" spans="1:19" s="106" customFormat="1" ht="38.25" hidden="1" customHeight="1">
      <c r="A119" s="157"/>
      <c r="B119" s="157"/>
      <c r="C119" s="157"/>
      <c r="D119" s="101"/>
      <c r="E119" s="109" t="s">
        <v>124</v>
      </c>
      <c r="F119" s="102" t="s">
        <v>112</v>
      </c>
      <c r="G119" s="103">
        <v>843</v>
      </c>
      <c r="H119" s="104" t="s">
        <v>51</v>
      </c>
      <c r="I119" s="105" t="s">
        <v>10</v>
      </c>
      <c r="J119" s="104" t="s">
        <v>163</v>
      </c>
      <c r="K119" s="170">
        <v>321</v>
      </c>
      <c r="L119" s="32">
        <v>4700</v>
      </c>
      <c r="M119" s="53">
        <v>0</v>
      </c>
      <c r="N119" s="107">
        <v>0</v>
      </c>
      <c r="O119" s="107">
        <f t="shared" si="21"/>
        <v>0</v>
      </c>
      <c r="P119" s="107">
        <f t="shared" si="21"/>
        <v>0</v>
      </c>
      <c r="Q119" s="108">
        <f>P119*1.05</f>
        <v>0</v>
      </c>
    </row>
    <row r="120" spans="1:19" s="110" customFormat="1" ht="38.25" hidden="1" customHeight="1">
      <c r="A120" s="101"/>
      <c r="B120" s="101"/>
      <c r="C120" s="101"/>
      <c r="D120" s="101"/>
      <c r="E120" s="152" t="s">
        <v>115</v>
      </c>
      <c r="F120" s="102" t="s">
        <v>112</v>
      </c>
      <c r="G120" s="103">
        <v>843</v>
      </c>
      <c r="H120" s="104" t="s">
        <v>7</v>
      </c>
      <c r="I120" s="105" t="s">
        <v>10</v>
      </c>
      <c r="J120" s="104" t="s">
        <v>161</v>
      </c>
      <c r="K120" s="170">
        <v>530</v>
      </c>
      <c r="L120" s="32">
        <v>3580.16</v>
      </c>
      <c r="M120" s="53">
        <v>0</v>
      </c>
      <c r="N120" s="107">
        <v>0</v>
      </c>
      <c r="O120" s="107">
        <f t="shared" si="21"/>
        <v>0</v>
      </c>
      <c r="P120" s="107">
        <f t="shared" si="21"/>
        <v>0</v>
      </c>
      <c r="Q120" s="108">
        <f>P120*1.05</f>
        <v>0</v>
      </c>
    </row>
    <row r="121" spans="1:19" s="110" customFormat="1" ht="38.25" hidden="1" customHeight="1">
      <c r="A121" s="101"/>
      <c r="B121" s="101"/>
      <c r="C121" s="101"/>
      <c r="D121" s="101"/>
      <c r="E121" s="102" t="s">
        <v>116</v>
      </c>
      <c r="F121" s="102" t="s">
        <v>112</v>
      </c>
      <c r="G121" s="103">
        <v>843</v>
      </c>
      <c r="H121" s="104" t="s">
        <v>7</v>
      </c>
      <c r="I121" s="105" t="s">
        <v>10</v>
      </c>
      <c r="J121" s="104" t="s">
        <v>162</v>
      </c>
      <c r="K121" s="170">
        <v>530</v>
      </c>
      <c r="L121" s="32">
        <v>70950.5</v>
      </c>
      <c r="M121" s="53">
        <v>0</v>
      </c>
      <c r="N121" s="107">
        <v>0</v>
      </c>
      <c r="O121" s="107">
        <f t="shared" si="21"/>
        <v>0</v>
      </c>
      <c r="P121" s="107">
        <f t="shared" si="21"/>
        <v>0</v>
      </c>
      <c r="Q121" s="108">
        <f>P121*1.05</f>
        <v>0</v>
      </c>
    </row>
    <row r="122" spans="1:19" ht="38.25">
      <c r="A122" s="146"/>
      <c r="B122" s="146"/>
      <c r="C122" s="146"/>
      <c r="D122" s="140"/>
      <c r="E122" s="34" t="s">
        <v>117</v>
      </c>
      <c r="F122" s="1" t="s">
        <v>112</v>
      </c>
      <c r="G122" s="6">
        <v>843</v>
      </c>
      <c r="H122" s="7" t="s">
        <v>51</v>
      </c>
      <c r="I122" s="8" t="s">
        <v>10</v>
      </c>
      <c r="J122" s="7" t="s">
        <v>497</v>
      </c>
      <c r="K122" s="170" t="s">
        <v>496</v>
      </c>
      <c r="L122" s="32">
        <f>L123+L124</f>
        <v>388187.82999999996</v>
      </c>
      <c r="M122" s="32">
        <f>M123+M124+M125</f>
        <v>0</v>
      </c>
      <c r="N122" s="32">
        <f>N123+N124+N125</f>
        <v>0</v>
      </c>
      <c r="O122" s="32">
        <f>O123+O124+O125</f>
        <v>0</v>
      </c>
      <c r="P122" s="32">
        <f>P123+P124+P125</f>
        <v>0</v>
      </c>
      <c r="Q122" s="32">
        <f>Q123+Q124+Q125</f>
        <v>0</v>
      </c>
    </row>
    <row r="123" spans="1:19" s="106" customFormat="1" ht="38.25" hidden="1" customHeight="1">
      <c r="A123" s="157"/>
      <c r="B123" s="157"/>
      <c r="C123" s="157"/>
      <c r="D123" s="101"/>
      <c r="E123" s="109" t="s">
        <v>125</v>
      </c>
      <c r="F123" s="102" t="s">
        <v>112</v>
      </c>
      <c r="G123" s="103">
        <v>843</v>
      </c>
      <c r="H123" s="104" t="s">
        <v>51</v>
      </c>
      <c r="I123" s="105" t="s">
        <v>10</v>
      </c>
      <c r="J123" s="104" t="s">
        <v>185</v>
      </c>
      <c r="K123" s="170">
        <v>530</v>
      </c>
      <c r="L123" s="32">
        <v>87552.67</v>
      </c>
      <c r="M123" s="53">
        <v>0</v>
      </c>
      <c r="N123" s="107">
        <v>0</v>
      </c>
      <c r="O123" s="107">
        <f t="shared" ref="O123:P126" si="22">N123*1.05</f>
        <v>0</v>
      </c>
      <c r="P123" s="107">
        <f t="shared" si="22"/>
        <v>0</v>
      </c>
      <c r="Q123" s="108">
        <f>P123*1.05</f>
        <v>0</v>
      </c>
    </row>
    <row r="124" spans="1:19" s="106" customFormat="1" ht="38.25" hidden="1" customHeight="1">
      <c r="A124" s="157"/>
      <c r="B124" s="157"/>
      <c r="C124" s="157"/>
      <c r="D124" s="101"/>
      <c r="E124" s="156" t="s">
        <v>118</v>
      </c>
      <c r="F124" s="102" t="s">
        <v>112</v>
      </c>
      <c r="G124" s="103">
        <v>843</v>
      </c>
      <c r="H124" s="104" t="s">
        <v>51</v>
      </c>
      <c r="I124" s="105" t="s">
        <v>10</v>
      </c>
      <c r="J124" s="104" t="s">
        <v>164</v>
      </c>
      <c r="K124" s="170">
        <v>530</v>
      </c>
      <c r="L124" s="32">
        <v>300635.15999999997</v>
      </c>
      <c r="M124" s="53">
        <v>0</v>
      </c>
      <c r="N124" s="107">
        <v>0</v>
      </c>
      <c r="O124" s="107">
        <f t="shared" si="22"/>
        <v>0</v>
      </c>
      <c r="P124" s="107">
        <f t="shared" si="22"/>
        <v>0</v>
      </c>
      <c r="Q124" s="108">
        <f>P124*1.05</f>
        <v>0</v>
      </c>
    </row>
    <row r="125" spans="1:19" ht="38.25" hidden="1" customHeight="1">
      <c r="A125" s="146"/>
      <c r="B125" s="146"/>
      <c r="C125" s="146"/>
      <c r="D125" s="140"/>
      <c r="E125" s="34" t="s">
        <v>119</v>
      </c>
      <c r="F125" s="1" t="s">
        <v>112</v>
      </c>
      <c r="G125" s="6">
        <v>843</v>
      </c>
      <c r="H125" s="7" t="s">
        <v>51</v>
      </c>
      <c r="I125" s="8" t="s">
        <v>10</v>
      </c>
      <c r="J125" s="7" t="s">
        <v>160</v>
      </c>
      <c r="K125" s="170">
        <v>313</v>
      </c>
      <c r="L125" s="32">
        <v>480</v>
      </c>
      <c r="M125" s="53">
        <v>0</v>
      </c>
      <c r="N125" s="54">
        <v>0</v>
      </c>
      <c r="O125" s="54">
        <f t="shared" si="22"/>
        <v>0</v>
      </c>
      <c r="P125" s="54">
        <f t="shared" si="22"/>
        <v>0</v>
      </c>
      <c r="Q125" s="30">
        <f>P125*1.05</f>
        <v>0</v>
      </c>
    </row>
    <row r="126" spans="1:19" ht="38.25" hidden="1">
      <c r="A126" s="146"/>
      <c r="B126" s="146"/>
      <c r="C126" s="146"/>
      <c r="D126" s="140"/>
      <c r="E126" s="1" t="s">
        <v>173</v>
      </c>
      <c r="F126" s="1" t="s">
        <v>112</v>
      </c>
      <c r="G126" s="6">
        <v>843</v>
      </c>
      <c r="H126" s="7" t="s">
        <v>7</v>
      </c>
      <c r="I126" s="8" t="s">
        <v>10</v>
      </c>
      <c r="J126" s="7" t="s">
        <v>174</v>
      </c>
      <c r="K126" s="170">
        <v>530</v>
      </c>
      <c r="L126" s="32">
        <v>20155</v>
      </c>
      <c r="M126" s="32">
        <v>0</v>
      </c>
      <c r="N126" s="32">
        <v>0</v>
      </c>
      <c r="O126" s="30">
        <f t="shared" si="22"/>
        <v>0</v>
      </c>
      <c r="P126" s="30">
        <f t="shared" si="22"/>
        <v>0</v>
      </c>
      <c r="Q126" s="30">
        <f>P126*1.05</f>
        <v>0</v>
      </c>
    </row>
    <row r="127" spans="1:19" ht="15" customHeight="1">
      <c r="A127" s="525">
        <v>30</v>
      </c>
      <c r="B127" s="525" t="s">
        <v>9</v>
      </c>
      <c r="C127" s="525"/>
      <c r="D127" s="525"/>
      <c r="E127" s="505" t="s">
        <v>61</v>
      </c>
      <c r="F127" s="1" t="s">
        <v>48</v>
      </c>
      <c r="G127" s="6"/>
      <c r="H127" s="6"/>
      <c r="I127" s="8"/>
      <c r="J127" s="8"/>
      <c r="K127" s="6"/>
      <c r="L127" s="30">
        <f>L128+L129+L133+L130+L131+L132</f>
        <v>1608778.0199999996</v>
      </c>
      <c r="M127" s="30">
        <f>M128</f>
        <v>1732886.9000000004</v>
      </c>
      <c r="N127" s="30">
        <f>N128</f>
        <v>1193407.5</v>
      </c>
      <c r="O127" s="30">
        <f>O128</f>
        <v>1253077.8750000002</v>
      </c>
      <c r="P127" s="30">
        <f>P128</f>
        <v>1315731.76875</v>
      </c>
      <c r="Q127" s="30">
        <f>P127*1.05</f>
        <v>1381518.3571875002</v>
      </c>
      <c r="S127" s="56"/>
    </row>
    <row r="128" spans="1:19" ht="38.25">
      <c r="A128" s="526"/>
      <c r="B128" s="526"/>
      <c r="C128" s="526"/>
      <c r="D128" s="526"/>
      <c r="E128" s="515"/>
      <c r="F128" s="1" t="s">
        <v>112</v>
      </c>
      <c r="G128" s="6">
        <v>843</v>
      </c>
      <c r="H128" s="6"/>
      <c r="I128" s="8"/>
      <c r="J128" s="8"/>
      <c r="K128" s="6"/>
      <c r="L128" s="30">
        <f>L134+L136+L140+L143+L146+L148+L149+L161+L163+L164+L166+L168+L171+L181+L182+L183+L184+L186+L187+L138</f>
        <v>1578395.8199999998</v>
      </c>
      <c r="M128" s="30">
        <f>M134+M136+M140+M143+M146+M148+M149+M161+M163+M164+M166+M168+M171+M181+M182+M183+M184+M186+M187+M138</f>
        <v>1732886.9000000004</v>
      </c>
      <c r="N128" s="30">
        <f>N134+N136+N140+N143+N146+N148+N149+N161+N163+N164+N166+N168+N171+N181+N182+N183+N184+N186+N187+N138-N168-N171</f>
        <v>1193407.5</v>
      </c>
      <c r="O128" s="30">
        <f>O134+O136+O140+O143+O146+O148+O149+O161+O163+O164+O166+O168+O171+O181+O182+O183+O184+O186+O187+O138-O168-O171</f>
        <v>1253077.8750000002</v>
      </c>
      <c r="P128" s="30">
        <f>P134+P136+P140+P143+P146+P148+P149+P161+P163+P164+P166+P168+P171+P181+P182+P183+P184+P186+P187+P138-P168-P171</f>
        <v>1315731.76875</v>
      </c>
      <c r="Q128" s="30">
        <f>Q134+Q136+Q140+Q143+Q146+Q148+Q149+Q161+Q163+Q164+Q166+Q168+Q171+Q181+Q182+Q183+Q184+Q186+Q187+Q138-Q168-Q171</f>
        <v>1381518.3571875002</v>
      </c>
      <c r="R128" s="26">
        <v>1610169</v>
      </c>
      <c r="S128" s="56">
        <f>R128-L128</f>
        <v>31773.180000000168</v>
      </c>
    </row>
    <row r="129" spans="1:21" ht="38.25">
      <c r="A129" s="526"/>
      <c r="B129" s="526"/>
      <c r="C129" s="526"/>
      <c r="D129" s="526"/>
      <c r="E129" s="515"/>
      <c r="F129" s="1" t="s">
        <v>172</v>
      </c>
      <c r="G129" s="6">
        <v>835</v>
      </c>
      <c r="H129" s="6"/>
      <c r="I129" s="8"/>
      <c r="J129" s="8"/>
      <c r="K129" s="6"/>
      <c r="L129" s="30">
        <f>L203+L204</f>
        <v>6624.7000000000007</v>
      </c>
      <c r="M129" s="30">
        <f>M203</f>
        <v>0</v>
      </c>
      <c r="N129" s="30">
        <f>N203</f>
        <v>0</v>
      </c>
      <c r="O129" s="30">
        <f>O203</f>
        <v>0</v>
      </c>
      <c r="P129" s="30">
        <f>P203</f>
        <v>0</v>
      </c>
      <c r="Q129" s="30">
        <f>P129*1.05</f>
        <v>0</v>
      </c>
    </row>
    <row r="130" spans="1:21" ht="51">
      <c r="A130" s="526"/>
      <c r="B130" s="526"/>
      <c r="C130" s="526"/>
      <c r="D130" s="526"/>
      <c r="E130" s="515"/>
      <c r="F130" s="10" t="s">
        <v>456</v>
      </c>
      <c r="G130" s="6">
        <v>847</v>
      </c>
      <c r="H130" s="6"/>
      <c r="I130" s="8"/>
      <c r="J130" s="8"/>
      <c r="K130" s="6"/>
      <c r="L130" s="30">
        <f>L207+L208</f>
        <v>6622.2</v>
      </c>
      <c r="M130" s="30">
        <v>0</v>
      </c>
      <c r="N130" s="30">
        <v>0</v>
      </c>
      <c r="O130" s="30">
        <v>0</v>
      </c>
      <c r="P130" s="30">
        <v>0</v>
      </c>
      <c r="Q130" s="30">
        <f>P130*1.05</f>
        <v>0</v>
      </c>
    </row>
    <row r="131" spans="1:21" ht="38.25">
      <c r="A131" s="526"/>
      <c r="B131" s="526"/>
      <c r="C131" s="526"/>
      <c r="D131" s="526"/>
      <c r="E131" s="515"/>
      <c r="F131" s="10" t="s">
        <v>457</v>
      </c>
      <c r="G131" s="6">
        <v>855</v>
      </c>
      <c r="H131" s="6"/>
      <c r="I131" s="8"/>
      <c r="J131" s="8"/>
      <c r="K131" s="6"/>
      <c r="L131" s="30">
        <f>L209+L210</f>
        <v>5597.4000000000005</v>
      </c>
      <c r="M131" s="30">
        <v>0</v>
      </c>
      <c r="N131" s="30">
        <v>0</v>
      </c>
      <c r="O131" s="30">
        <v>0</v>
      </c>
      <c r="P131" s="30">
        <v>0</v>
      </c>
      <c r="Q131" s="30">
        <f>P131*1.05</f>
        <v>0</v>
      </c>
    </row>
    <row r="132" spans="1:21" ht="25.5">
      <c r="A132" s="526"/>
      <c r="B132" s="526"/>
      <c r="C132" s="526"/>
      <c r="D132" s="526"/>
      <c r="E132" s="515"/>
      <c r="F132" s="46" t="s">
        <v>459</v>
      </c>
      <c r="G132" s="6">
        <v>857</v>
      </c>
      <c r="H132" s="6"/>
      <c r="I132" s="8"/>
      <c r="J132" s="8"/>
      <c r="K132" s="6"/>
      <c r="L132" s="30">
        <f>L211+L212</f>
        <v>6537.9</v>
      </c>
      <c r="M132" s="30">
        <v>0</v>
      </c>
      <c r="N132" s="30">
        <v>0</v>
      </c>
      <c r="O132" s="30">
        <v>0</v>
      </c>
      <c r="P132" s="30">
        <v>0</v>
      </c>
      <c r="Q132" s="30">
        <f>P132*1.05</f>
        <v>0</v>
      </c>
    </row>
    <row r="133" spans="1:21" ht="29.25" customHeight="1">
      <c r="A133" s="670"/>
      <c r="B133" s="670"/>
      <c r="C133" s="670"/>
      <c r="D133" s="670"/>
      <c r="E133" s="506"/>
      <c r="F133" s="1" t="s">
        <v>187</v>
      </c>
      <c r="G133" s="6">
        <v>874</v>
      </c>
      <c r="H133" s="7"/>
      <c r="I133" s="8"/>
      <c r="J133" s="7"/>
      <c r="K133" s="170"/>
      <c r="L133" s="30">
        <f>L205+L206</f>
        <v>5000</v>
      </c>
      <c r="M133" s="30">
        <f>M205</f>
        <v>0</v>
      </c>
      <c r="N133" s="30">
        <f>N205</f>
        <v>0</v>
      </c>
      <c r="O133" s="30">
        <f>O205</f>
        <v>0</v>
      </c>
      <c r="P133" s="30">
        <f>P205</f>
        <v>0</v>
      </c>
      <c r="Q133" s="30">
        <f>P133*1.05</f>
        <v>0</v>
      </c>
    </row>
    <row r="134" spans="1:21" ht="51">
      <c r="A134" s="159" t="s">
        <v>110</v>
      </c>
      <c r="B134" s="159" t="s">
        <v>9</v>
      </c>
      <c r="C134" s="159" t="s">
        <v>7</v>
      </c>
      <c r="D134" s="158"/>
      <c r="E134" s="3" t="s">
        <v>312</v>
      </c>
      <c r="F134" s="1" t="s">
        <v>112</v>
      </c>
      <c r="G134" s="6">
        <v>843</v>
      </c>
      <c r="H134" s="7" t="s">
        <v>51</v>
      </c>
      <c r="I134" s="8" t="s">
        <v>8</v>
      </c>
      <c r="J134" s="7" t="s">
        <v>314</v>
      </c>
      <c r="K134" s="170">
        <v>611</v>
      </c>
      <c r="L134" s="30">
        <f>L135</f>
        <v>0</v>
      </c>
      <c r="M134" s="30">
        <f>M135</f>
        <v>593771</v>
      </c>
      <c r="N134" s="30">
        <v>417656.3</v>
      </c>
      <c r="O134" s="30">
        <v>438539.11500000005</v>
      </c>
      <c r="P134" s="30">
        <v>460466.07075000007</v>
      </c>
      <c r="Q134" s="30">
        <v>483489.37428750005</v>
      </c>
    </row>
    <row r="135" spans="1:21" ht="51" hidden="1">
      <c r="A135" s="159" t="s">
        <v>110</v>
      </c>
      <c r="B135" s="159" t="s">
        <v>9</v>
      </c>
      <c r="C135" s="159" t="s">
        <v>7</v>
      </c>
      <c r="D135" s="8" t="s">
        <v>7</v>
      </c>
      <c r="E135" s="3" t="s">
        <v>313</v>
      </c>
      <c r="F135" s="1" t="s">
        <v>112</v>
      </c>
      <c r="G135" s="6">
        <v>843</v>
      </c>
      <c r="H135" s="7" t="s">
        <v>51</v>
      </c>
      <c r="I135" s="8" t="s">
        <v>8</v>
      </c>
      <c r="J135" s="7" t="s">
        <v>315</v>
      </c>
      <c r="K135" s="170">
        <v>611</v>
      </c>
      <c r="L135" s="30">
        <v>0</v>
      </c>
      <c r="M135" s="30">
        <f>519111.4+3000+71659.6</f>
        <v>593771</v>
      </c>
      <c r="N135" s="30">
        <v>0</v>
      </c>
      <c r="O135" s="30">
        <f t="shared" ref="O135:P139" si="23">N135*1.05</f>
        <v>0</v>
      </c>
      <c r="P135" s="30">
        <f t="shared" si="23"/>
        <v>0</v>
      </c>
      <c r="Q135" s="30">
        <f>P135*1.05</f>
        <v>0</v>
      </c>
    </row>
    <row r="136" spans="1:21" ht="63.75">
      <c r="A136" s="159" t="s">
        <v>110</v>
      </c>
      <c r="B136" s="159" t="s">
        <v>9</v>
      </c>
      <c r="C136" s="159" t="s">
        <v>8</v>
      </c>
      <c r="D136" s="8"/>
      <c r="E136" s="3" t="s">
        <v>316</v>
      </c>
      <c r="F136" s="1" t="s">
        <v>112</v>
      </c>
      <c r="G136" s="6">
        <v>843</v>
      </c>
      <c r="H136" s="7" t="s">
        <v>51</v>
      </c>
      <c r="I136" s="8" t="s">
        <v>8</v>
      </c>
      <c r="J136" s="7" t="s">
        <v>317</v>
      </c>
      <c r="K136" s="170">
        <v>611</v>
      </c>
      <c r="L136" s="30">
        <f>L137</f>
        <v>0</v>
      </c>
      <c r="M136" s="30">
        <f>M137</f>
        <v>44711.1</v>
      </c>
      <c r="N136" s="30">
        <v>32775.1</v>
      </c>
      <c r="O136" s="30">
        <v>34413.855000000003</v>
      </c>
      <c r="P136" s="30">
        <v>36134.547750000005</v>
      </c>
      <c r="Q136" s="30">
        <v>37941.275137500008</v>
      </c>
      <c r="R136" s="26">
        <f>N136/M136</f>
        <v>0.73304168316145202</v>
      </c>
      <c r="S136" s="26">
        <f>O136/N136</f>
        <v>1.05</v>
      </c>
      <c r="T136" s="26">
        <f>P136/O136</f>
        <v>1.05</v>
      </c>
      <c r="U136" s="26">
        <f>Q136/P136</f>
        <v>1.05</v>
      </c>
    </row>
    <row r="137" spans="1:21" ht="51" hidden="1">
      <c r="A137" s="159" t="s">
        <v>110</v>
      </c>
      <c r="B137" s="159" t="s">
        <v>9</v>
      </c>
      <c r="C137" s="159" t="s">
        <v>8</v>
      </c>
      <c r="D137" s="8" t="s">
        <v>7</v>
      </c>
      <c r="E137" s="3" t="s">
        <v>313</v>
      </c>
      <c r="F137" s="1" t="s">
        <v>112</v>
      </c>
      <c r="G137" s="6">
        <v>843</v>
      </c>
      <c r="H137" s="7" t="s">
        <v>51</v>
      </c>
      <c r="I137" s="8" t="s">
        <v>8</v>
      </c>
      <c r="J137" s="7" t="s">
        <v>318</v>
      </c>
      <c r="K137" s="170">
        <v>611</v>
      </c>
      <c r="L137" s="30">
        <v>0</v>
      </c>
      <c r="M137" s="30">
        <f>42655.4+2055.7</f>
        <v>44711.1</v>
      </c>
      <c r="N137" s="30">
        <v>0</v>
      </c>
      <c r="O137" s="30">
        <f t="shared" si="23"/>
        <v>0</v>
      </c>
      <c r="P137" s="30">
        <f t="shared" si="23"/>
        <v>0</v>
      </c>
      <c r="Q137" s="30">
        <f>P137*1.05</f>
        <v>0</v>
      </c>
    </row>
    <row r="138" spans="1:21" ht="76.5">
      <c r="A138" s="159" t="s">
        <v>110</v>
      </c>
      <c r="B138" s="159" t="s">
        <v>9</v>
      </c>
      <c r="C138" s="159" t="s">
        <v>9</v>
      </c>
      <c r="D138" s="8"/>
      <c r="E138" s="3" t="s">
        <v>319</v>
      </c>
      <c r="F138" s="1" t="s">
        <v>112</v>
      </c>
      <c r="G138" s="6">
        <v>843</v>
      </c>
      <c r="H138" s="7" t="s">
        <v>51</v>
      </c>
      <c r="I138" s="8" t="s">
        <v>8</v>
      </c>
      <c r="J138" s="7" t="s">
        <v>320</v>
      </c>
      <c r="K138" s="170" t="s">
        <v>478</v>
      </c>
      <c r="L138" s="30">
        <f>L139</f>
        <v>0</v>
      </c>
      <c r="M138" s="30">
        <f>M139</f>
        <v>964547.80000000016</v>
      </c>
      <c r="N138" s="30">
        <v>703282.8</v>
      </c>
      <c r="O138" s="30">
        <v>738446.94000000006</v>
      </c>
      <c r="P138" s="30">
        <v>775369.28700000001</v>
      </c>
      <c r="Q138" s="30">
        <v>814137.75135000004</v>
      </c>
      <c r="R138" s="178">
        <v>681470.57</v>
      </c>
      <c r="S138" s="56">
        <f>R138-M138</f>
        <v>-283077.23000000021</v>
      </c>
    </row>
    <row r="139" spans="1:21" ht="51" hidden="1">
      <c r="A139" s="159" t="s">
        <v>110</v>
      </c>
      <c r="B139" s="159" t="s">
        <v>9</v>
      </c>
      <c r="C139" s="159" t="s">
        <v>9</v>
      </c>
      <c r="D139" s="8" t="s">
        <v>7</v>
      </c>
      <c r="E139" s="3" t="s">
        <v>313</v>
      </c>
      <c r="F139" s="1" t="s">
        <v>112</v>
      </c>
      <c r="G139" s="6">
        <v>843</v>
      </c>
      <c r="H139" s="7" t="s">
        <v>51</v>
      </c>
      <c r="I139" s="8" t="s">
        <v>8</v>
      </c>
      <c r="J139" s="7" t="s">
        <v>321</v>
      </c>
      <c r="K139" s="170">
        <v>611</v>
      </c>
      <c r="L139" s="30">
        <v>0</v>
      </c>
      <c r="M139" s="30">
        <f>866319.9+2623.8+9686.4+5875.5+75736.9+4305.3</f>
        <v>964547.80000000016</v>
      </c>
      <c r="N139" s="30">
        <v>0</v>
      </c>
      <c r="O139" s="30">
        <f t="shared" si="23"/>
        <v>0</v>
      </c>
      <c r="P139" s="30">
        <f t="shared" si="23"/>
        <v>0</v>
      </c>
      <c r="Q139" s="30">
        <f>P139*1.05</f>
        <v>0</v>
      </c>
    </row>
    <row r="140" spans="1:21" ht="38.25">
      <c r="A140" s="159" t="s">
        <v>110</v>
      </c>
      <c r="B140" s="159" t="s">
        <v>9</v>
      </c>
      <c r="C140" s="159" t="s">
        <v>33</v>
      </c>
      <c r="D140" s="8"/>
      <c r="E140" s="3" t="s">
        <v>323</v>
      </c>
      <c r="F140" s="1" t="s">
        <v>112</v>
      </c>
      <c r="G140" s="6">
        <v>843</v>
      </c>
      <c r="H140" s="7" t="s">
        <v>51</v>
      </c>
      <c r="I140" s="8" t="s">
        <v>8</v>
      </c>
      <c r="J140" s="7" t="s">
        <v>325</v>
      </c>
      <c r="K140" s="170">
        <v>320</v>
      </c>
      <c r="L140" s="30">
        <f t="shared" ref="L140:Q140" si="24">L141+L142</f>
        <v>0</v>
      </c>
      <c r="M140" s="30">
        <f t="shared" si="24"/>
        <v>4176.8999999999996</v>
      </c>
      <c r="N140" s="30">
        <f t="shared" si="24"/>
        <v>3896.1</v>
      </c>
      <c r="O140" s="30">
        <f t="shared" si="24"/>
        <v>4090.9050000000002</v>
      </c>
      <c r="P140" s="30">
        <f t="shared" si="24"/>
        <v>4295.4502500000008</v>
      </c>
      <c r="Q140" s="30">
        <f t="shared" si="24"/>
        <v>4510.2227625000014</v>
      </c>
    </row>
    <row r="141" spans="1:21" ht="76.5" hidden="1">
      <c r="A141" s="159" t="s">
        <v>110</v>
      </c>
      <c r="B141" s="159" t="s">
        <v>9</v>
      </c>
      <c r="C141" s="159" t="s">
        <v>33</v>
      </c>
      <c r="D141" s="8" t="s">
        <v>7</v>
      </c>
      <c r="E141" s="3" t="s">
        <v>324</v>
      </c>
      <c r="F141" s="1" t="s">
        <v>112</v>
      </c>
      <c r="G141" s="6">
        <v>843</v>
      </c>
      <c r="H141" s="7" t="s">
        <v>51</v>
      </c>
      <c r="I141" s="8" t="s">
        <v>8</v>
      </c>
      <c r="J141" s="7"/>
      <c r="K141" s="170"/>
      <c r="L141" s="30"/>
      <c r="M141" s="30"/>
      <c r="N141" s="30"/>
      <c r="O141" s="30"/>
      <c r="P141" s="30"/>
      <c r="Q141" s="30">
        <f>P141*1.05</f>
        <v>0</v>
      </c>
    </row>
    <row r="142" spans="1:21" ht="76.5" hidden="1">
      <c r="A142" s="159" t="s">
        <v>110</v>
      </c>
      <c r="B142" s="159" t="s">
        <v>9</v>
      </c>
      <c r="C142" s="159" t="s">
        <v>33</v>
      </c>
      <c r="D142" s="8" t="s">
        <v>8</v>
      </c>
      <c r="E142" s="59" t="s">
        <v>79</v>
      </c>
      <c r="F142" s="1" t="s">
        <v>112</v>
      </c>
      <c r="G142" s="6">
        <v>843</v>
      </c>
      <c r="H142" s="7" t="s">
        <v>51</v>
      </c>
      <c r="I142" s="8" t="s">
        <v>8</v>
      </c>
      <c r="J142" s="7" t="s">
        <v>326</v>
      </c>
      <c r="K142" s="170">
        <v>320</v>
      </c>
      <c r="L142" s="30">
        <v>0</v>
      </c>
      <c r="M142" s="30">
        <v>4176.8999999999996</v>
      </c>
      <c r="N142" s="30">
        <v>3896.1</v>
      </c>
      <c r="O142" s="30">
        <f>N142*1.05</f>
        <v>4090.9050000000002</v>
      </c>
      <c r="P142" s="30">
        <f>O142*1.05</f>
        <v>4295.4502500000008</v>
      </c>
      <c r="Q142" s="30">
        <f>P142*1.05</f>
        <v>4510.2227625000014</v>
      </c>
    </row>
    <row r="143" spans="1:21" ht="38.25">
      <c r="A143" s="159" t="s">
        <v>110</v>
      </c>
      <c r="B143" s="159" t="s">
        <v>9</v>
      </c>
      <c r="C143" s="159" t="s">
        <v>25</v>
      </c>
      <c r="D143" s="8"/>
      <c r="E143" s="59" t="s">
        <v>327</v>
      </c>
      <c r="F143" s="1" t="s">
        <v>112</v>
      </c>
      <c r="G143" s="6">
        <v>843</v>
      </c>
      <c r="H143" s="7" t="s">
        <v>51</v>
      </c>
      <c r="I143" s="8" t="s">
        <v>8</v>
      </c>
      <c r="J143" s="7" t="s">
        <v>328</v>
      </c>
      <c r="K143" s="170" t="s">
        <v>479</v>
      </c>
      <c r="L143" s="30">
        <f t="shared" ref="L143:Q143" si="25">L144+L145+R167+L188+L218</f>
        <v>3975.5</v>
      </c>
      <c r="M143" s="30">
        <f t="shared" si="25"/>
        <v>22329.599999999999</v>
      </c>
      <c r="N143" s="30">
        <f t="shared" si="25"/>
        <v>392.6</v>
      </c>
      <c r="O143" s="30">
        <f t="shared" si="25"/>
        <v>412.23</v>
      </c>
      <c r="P143" s="30">
        <f t="shared" si="25"/>
        <v>432.84150000000005</v>
      </c>
      <c r="Q143" s="30">
        <f t="shared" si="25"/>
        <v>454.48357500000009</v>
      </c>
    </row>
    <row r="144" spans="1:21" ht="38.25" hidden="1" customHeight="1">
      <c r="A144" s="159" t="s">
        <v>110</v>
      </c>
      <c r="B144" s="159" t="s">
        <v>9</v>
      </c>
      <c r="C144" s="159" t="s">
        <v>25</v>
      </c>
      <c r="D144" s="8" t="s">
        <v>7</v>
      </c>
      <c r="E144" s="59" t="s">
        <v>329</v>
      </c>
      <c r="F144" s="1" t="s">
        <v>112</v>
      </c>
      <c r="G144" s="6">
        <v>843</v>
      </c>
      <c r="H144" s="7" t="s">
        <v>51</v>
      </c>
      <c r="I144" s="8" t="s">
        <v>8</v>
      </c>
      <c r="J144" s="7" t="s">
        <v>331</v>
      </c>
      <c r="K144" s="170">
        <v>612</v>
      </c>
      <c r="L144" s="30">
        <v>0</v>
      </c>
      <c r="M144" s="30">
        <f>393+5000-98.2+7034.8</f>
        <v>12329.6</v>
      </c>
      <c r="N144" s="30">
        <v>392.6</v>
      </c>
      <c r="O144" s="30">
        <f t="shared" ref="O144:Q145" si="26">N144*1.05</f>
        <v>412.23</v>
      </c>
      <c r="P144" s="30">
        <f t="shared" si="26"/>
        <v>432.84150000000005</v>
      </c>
      <c r="Q144" s="30">
        <f t="shared" si="26"/>
        <v>454.48357500000009</v>
      </c>
    </row>
    <row r="145" spans="1:17" ht="38.25" hidden="1" customHeight="1">
      <c r="A145" s="159" t="s">
        <v>110</v>
      </c>
      <c r="B145" s="159" t="s">
        <v>9</v>
      </c>
      <c r="C145" s="159" t="s">
        <v>25</v>
      </c>
      <c r="D145" s="8" t="s">
        <v>8</v>
      </c>
      <c r="E145" s="59" t="s">
        <v>330</v>
      </c>
      <c r="F145" s="1" t="s">
        <v>112</v>
      </c>
      <c r="G145" s="6">
        <v>843</v>
      </c>
      <c r="H145" s="7" t="s">
        <v>51</v>
      </c>
      <c r="I145" s="8" t="s">
        <v>25</v>
      </c>
      <c r="J145" s="7" t="s">
        <v>332</v>
      </c>
      <c r="K145" s="170" t="s">
        <v>392</v>
      </c>
      <c r="L145" s="30">
        <v>0</v>
      </c>
      <c r="M145" s="166">
        <v>10000</v>
      </c>
      <c r="N145" s="30">
        <v>0</v>
      </c>
      <c r="O145" s="30">
        <f t="shared" si="26"/>
        <v>0</v>
      </c>
      <c r="P145" s="30">
        <f t="shared" si="26"/>
        <v>0</v>
      </c>
      <c r="Q145" s="30">
        <f t="shared" si="26"/>
        <v>0</v>
      </c>
    </row>
    <row r="146" spans="1:17" ht="38.25">
      <c r="A146" s="159" t="s">
        <v>110</v>
      </c>
      <c r="B146" s="159" t="s">
        <v>9</v>
      </c>
      <c r="C146" s="159" t="s">
        <v>6</v>
      </c>
      <c r="D146" s="159"/>
      <c r="E146" s="59" t="s">
        <v>333</v>
      </c>
      <c r="F146" s="1" t="s">
        <v>112</v>
      </c>
      <c r="G146" s="6">
        <v>843</v>
      </c>
      <c r="H146" s="7" t="s">
        <v>51</v>
      </c>
      <c r="I146" s="8" t="s">
        <v>9</v>
      </c>
      <c r="J146" s="7" t="s">
        <v>336</v>
      </c>
      <c r="K146" s="170" t="s">
        <v>480</v>
      </c>
      <c r="L146" s="30">
        <f t="shared" ref="L146:Q146" si="27">L147+L191</f>
        <v>45498.6</v>
      </c>
      <c r="M146" s="30">
        <f t="shared" si="27"/>
        <v>18410.5</v>
      </c>
      <c r="N146" s="30">
        <f t="shared" si="27"/>
        <v>13156.9</v>
      </c>
      <c r="O146" s="30">
        <f t="shared" si="27"/>
        <v>13814.745000000001</v>
      </c>
      <c r="P146" s="30">
        <f t="shared" si="27"/>
        <v>14505.482250000001</v>
      </c>
      <c r="Q146" s="30">
        <f t="shared" si="27"/>
        <v>15230.756362500002</v>
      </c>
    </row>
    <row r="147" spans="1:17" ht="38.25" hidden="1" customHeight="1">
      <c r="A147" s="159" t="s">
        <v>110</v>
      </c>
      <c r="B147" s="159" t="s">
        <v>9</v>
      </c>
      <c r="C147" s="159" t="s">
        <v>6</v>
      </c>
      <c r="D147" s="159" t="s">
        <v>7</v>
      </c>
      <c r="E147" s="59" t="s">
        <v>334</v>
      </c>
      <c r="F147" s="1" t="s">
        <v>112</v>
      </c>
      <c r="G147" s="6">
        <v>843</v>
      </c>
      <c r="H147" s="7" t="s">
        <v>51</v>
      </c>
      <c r="I147" s="8" t="s">
        <v>9</v>
      </c>
      <c r="J147" s="7" t="s">
        <v>337</v>
      </c>
      <c r="K147" s="170" t="s">
        <v>393</v>
      </c>
      <c r="L147" s="30"/>
      <c r="M147" s="30">
        <f>20214-1803.5</f>
        <v>18410.5</v>
      </c>
      <c r="N147" s="30">
        <v>13156.9</v>
      </c>
      <c r="O147" s="30">
        <f>N147*1.05</f>
        <v>13814.745000000001</v>
      </c>
      <c r="P147" s="30">
        <f>O147*1.05</f>
        <v>14505.482250000001</v>
      </c>
      <c r="Q147" s="30">
        <f>P147*1.05</f>
        <v>15230.756362500002</v>
      </c>
    </row>
    <row r="148" spans="1:17" ht="38.25" customHeight="1">
      <c r="A148" s="501" t="s">
        <v>110</v>
      </c>
      <c r="B148" s="501" t="s">
        <v>9</v>
      </c>
      <c r="C148" s="501" t="s">
        <v>34</v>
      </c>
      <c r="D148" s="675"/>
      <c r="E148" s="677" t="s">
        <v>335</v>
      </c>
      <c r="F148" s="519" t="s">
        <v>112</v>
      </c>
      <c r="G148" s="6">
        <v>843</v>
      </c>
      <c r="H148" s="7" t="s">
        <v>51</v>
      </c>
      <c r="I148" s="8" t="s">
        <v>9</v>
      </c>
      <c r="J148" s="7" t="s">
        <v>464</v>
      </c>
      <c r="K148" s="170" t="s">
        <v>481</v>
      </c>
      <c r="L148" s="30">
        <f t="shared" ref="L148:Q148" si="28">L160+L201</f>
        <v>6588.9</v>
      </c>
      <c r="M148" s="54">
        <f t="shared" si="28"/>
        <v>55079.5</v>
      </c>
      <c r="N148" s="30">
        <f t="shared" si="28"/>
        <v>0</v>
      </c>
      <c r="O148" s="30">
        <f t="shared" si="28"/>
        <v>0</v>
      </c>
      <c r="P148" s="30">
        <f t="shared" si="28"/>
        <v>0</v>
      </c>
      <c r="Q148" s="30">
        <f t="shared" si="28"/>
        <v>0</v>
      </c>
    </row>
    <row r="149" spans="1:17" ht="32.25" customHeight="1">
      <c r="A149" s="527"/>
      <c r="B149" s="527"/>
      <c r="C149" s="527"/>
      <c r="D149" s="699"/>
      <c r="E149" s="679"/>
      <c r="F149" s="665"/>
      <c r="G149" s="6">
        <v>843</v>
      </c>
      <c r="H149" s="24">
        <v>10</v>
      </c>
      <c r="I149" s="159" t="s">
        <v>9</v>
      </c>
      <c r="J149" s="7" t="s">
        <v>455</v>
      </c>
      <c r="K149" s="170" t="s">
        <v>481</v>
      </c>
      <c r="L149" s="30">
        <v>24323.919999999998</v>
      </c>
      <c r="M149" s="30">
        <v>0</v>
      </c>
      <c r="N149" s="30">
        <v>0</v>
      </c>
      <c r="O149" s="30">
        <v>0</v>
      </c>
      <c r="P149" s="30">
        <v>0</v>
      </c>
      <c r="Q149" s="30">
        <v>0</v>
      </c>
    </row>
    <row r="150" spans="1:17" ht="15" customHeight="1">
      <c r="A150" s="527"/>
      <c r="B150" s="527"/>
      <c r="C150" s="527"/>
      <c r="D150" s="699"/>
      <c r="E150" s="679"/>
      <c r="F150" s="519" t="s">
        <v>172</v>
      </c>
      <c r="G150" s="6">
        <v>835</v>
      </c>
      <c r="H150" s="7" t="s">
        <v>69</v>
      </c>
      <c r="I150" s="8" t="s">
        <v>10</v>
      </c>
      <c r="J150" s="7" t="s">
        <v>186</v>
      </c>
      <c r="K150" s="170">
        <v>810</v>
      </c>
      <c r="L150" s="30">
        <v>1987.4</v>
      </c>
      <c r="M150" s="30">
        <v>0</v>
      </c>
      <c r="N150" s="30">
        <v>0</v>
      </c>
      <c r="O150" s="30">
        <v>0</v>
      </c>
      <c r="P150" s="30">
        <v>0</v>
      </c>
      <c r="Q150" s="30">
        <v>0</v>
      </c>
    </row>
    <row r="151" spans="1:17" ht="28.5" customHeight="1">
      <c r="A151" s="527"/>
      <c r="B151" s="527"/>
      <c r="C151" s="527"/>
      <c r="D151" s="699"/>
      <c r="E151" s="679"/>
      <c r="F151" s="665"/>
      <c r="G151" s="6">
        <v>835</v>
      </c>
      <c r="H151" s="7" t="s">
        <v>69</v>
      </c>
      <c r="I151" s="8" t="s">
        <v>10</v>
      </c>
      <c r="J151" s="7" t="s">
        <v>455</v>
      </c>
      <c r="K151" s="170">
        <v>810</v>
      </c>
      <c r="L151" s="30">
        <v>4637.3</v>
      </c>
      <c r="M151" s="30">
        <v>0</v>
      </c>
      <c r="N151" s="30">
        <v>0</v>
      </c>
      <c r="O151" s="30">
        <v>0</v>
      </c>
      <c r="P151" s="30">
        <v>0</v>
      </c>
      <c r="Q151" s="30">
        <v>0</v>
      </c>
    </row>
    <row r="152" spans="1:17" ht="25.5">
      <c r="A152" s="527"/>
      <c r="B152" s="527"/>
      <c r="C152" s="527"/>
      <c r="D152" s="699"/>
      <c r="E152" s="679"/>
      <c r="F152" s="519" t="s">
        <v>187</v>
      </c>
      <c r="G152" s="6">
        <v>874</v>
      </c>
      <c r="H152" s="7" t="s">
        <v>6</v>
      </c>
      <c r="I152" s="8" t="s">
        <v>10</v>
      </c>
      <c r="J152" s="7" t="s">
        <v>186</v>
      </c>
      <c r="K152" s="170" t="s">
        <v>491</v>
      </c>
      <c r="L152" s="30">
        <v>1500</v>
      </c>
      <c r="M152" s="30">
        <v>0</v>
      </c>
      <c r="N152" s="30">
        <v>0</v>
      </c>
      <c r="O152" s="30">
        <v>0</v>
      </c>
      <c r="P152" s="30">
        <v>0</v>
      </c>
      <c r="Q152" s="30">
        <v>0</v>
      </c>
    </row>
    <row r="153" spans="1:17" ht="25.5">
      <c r="A153" s="527"/>
      <c r="B153" s="527"/>
      <c r="C153" s="527"/>
      <c r="D153" s="699"/>
      <c r="E153" s="679"/>
      <c r="F153" s="665"/>
      <c r="G153" s="6">
        <v>874</v>
      </c>
      <c r="H153" s="7" t="s">
        <v>6</v>
      </c>
      <c r="I153" s="8" t="s">
        <v>10</v>
      </c>
      <c r="J153" s="7" t="s">
        <v>455</v>
      </c>
      <c r="K153" s="170" t="s">
        <v>491</v>
      </c>
      <c r="L153" s="32">
        <v>3500</v>
      </c>
      <c r="M153" s="30">
        <v>0</v>
      </c>
      <c r="N153" s="30">
        <v>0</v>
      </c>
      <c r="O153" s="30">
        <v>0</v>
      </c>
      <c r="P153" s="30">
        <v>0</v>
      </c>
      <c r="Q153" s="30">
        <v>0</v>
      </c>
    </row>
    <row r="154" spans="1:17" ht="27.75" customHeight="1">
      <c r="A154" s="527"/>
      <c r="B154" s="527"/>
      <c r="C154" s="527"/>
      <c r="D154" s="699"/>
      <c r="E154" s="679"/>
      <c r="F154" s="519" t="s">
        <v>456</v>
      </c>
      <c r="G154" s="24">
        <v>847</v>
      </c>
      <c r="H154" s="24">
        <v>11</v>
      </c>
      <c r="I154" s="159" t="s">
        <v>33</v>
      </c>
      <c r="J154" s="7" t="s">
        <v>186</v>
      </c>
      <c r="K154" s="170" t="s">
        <v>491</v>
      </c>
      <c r="L154" s="32">
        <v>1985.3</v>
      </c>
      <c r="M154" s="30">
        <v>0</v>
      </c>
      <c r="N154" s="30">
        <v>0</v>
      </c>
      <c r="O154" s="30">
        <v>0</v>
      </c>
      <c r="P154" s="30">
        <v>0</v>
      </c>
      <c r="Q154" s="30">
        <v>0</v>
      </c>
    </row>
    <row r="155" spans="1:17" ht="27.75" customHeight="1">
      <c r="A155" s="527"/>
      <c r="B155" s="527"/>
      <c r="C155" s="527"/>
      <c r="D155" s="699"/>
      <c r="E155" s="679"/>
      <c r="F155" s="665"/>
      <c r="G155" s="24">
        <v>847</v>
      </c>
      <c r="H155" s="24">
        <v>11</v>
      </c>
      <c r="I155" s="159" t="s">
        <v>25</v>
      </c>
      <c r="J155" s="7" t="s">
        <v>455</v>
      </c>
      <c r="K155" s="170" t="s">
        <v>491</v>
      </c>
      <c r="L155" s="32">
        <v>4636.8999999999996</v>
      </c>
      <c r="M155" s="30">
        <v>0</v>
      </c>
      <c r="N155" s="30">
        <v>0</v>
      </c>
      <c r="O155" s="30">
        <v>0</v>
      </c>
      <c r="P155" s="30">
        <v>0</v>
      </c>
      <c r="Q155" s="30">
        <v>0</v>
      </c>
    </row>
    <row r="156" spans="1:17" ht="15" customHeight="1">
      <c r="A156" s="527"/>
      <c r="B156" s="527"/>
      <c r="C156" s="527"/>
      <c r="D156" s="699"/>
      <c r="E156" s="679"/>
      <c r="F156" s="519" t="s">
        <v>457</v>
      </c>
      <c r="G156" s="24">
        <v>855</v>
      </c>
      <c r="H156" s="159" t="s">
        <v>35</v>
      </c>
      <c r="I156" s="159" t="s">
        <v>35</v>
      </c>
      <c r="J156" s="7" t="s">
        <v>186</v>
      </c>
      <c r="K156" s="170">
        <v>612</v>
      </c>
      <c r="L156" s="32">
        <v>960.1</v>
      </c>
      <c r="M156" s="30">
        <v>0</v>
      </c>
      <c r="N156" s="30">
        <v>0</v>
      </c>
      <c r="O156" s="30">
        <v>0</v>
      </c>
      <c r="P156" s="30">
        <v>0</v>
      </c>
      <c r="Q156" s="30">
        <v>0</v>
      </c>
    </row>
    <row r="157" spans="1:17" ht="15">
      <c r="A157" s="527"/>
      <c r="B157" s="527"/>
      <c r="C157" s="527"/>
      <c r="D157" s="699"/>
      <c r="E157" s="679"/>
      <c r="F157" s="665"/>
      <c r="G157" s="24">
        <v>855</v>
      </c>
      <c r="H157" s="159" t="s">
        <v>35</v>
      </c>
      <c r="I157" s="159" t="s">
        <v>35</v>
      </c>
      <c r="J157" s="7" t="s">
        <v>455</v>
      </c>
      <c r="K157" s="170">
        <v>612</v>
      </c>
      <c r="L157" s="32">
        <v>4637.3</v>
      </c>
      <c r="M157" s="30">
        <v>0</v>
      </c>
      <c r="N157" s="30">
        <v>0</v>
      </c>
      <c r="O157" s="30">
        <v>0</v>
      </c>
      <c r="P157" s="30">
        <v>0</v>
      </c>
      <c r="Q157" s="30">
        <v>0</v>
      </c>
    </row>
    <row r="158" spans="1:17" ht="29.25" customHeight="1">
      <c r="A158" s="527"/>
      <c r="B158" s="527"/>
      <c r="C158" s="527"/>
      <c r="D158" s="699"/>
      <c r="E158" s="679"/>
      <c r="F158" s="519" t="s">
        <v>458</v>
      </c>
      <c r="G158" s="24">
        <v>857</v>
      </c>
      <c r="H158" s="159" t="s">
        <v>34</v>
      </c>
      <c r="I158" s="159" t="s">
        <v>10</v>
      </c>
      <c r="J158" s="7" t="s">
        <v>186</v>
      </c>
      <c r="K158" s="170" t="s">
        <v>491</v>
      </c>
      <c r="L158" s="32">
        <v>1900.6</v>
      </c>
      <c r="M158" s="30">
        <v>0</v>
      </c>
      <c r="N158" s="30">
        <v>0</v>
      </c>
      <c r="O158" s="30">
        <v>0</v>
      </c>
      <c r="P158" s="30">
        <v>0</v>
      </c>
      <c r="Q158" s="30">
        <v>0</v>
      </c>
    </row>
    <row r="159" spans="1:17" ht="25.5">
      <c r="A159" s="502"/>
      <c r="B159" s="502"/>
      <c r="C159" s="502"/>
      <c r="D159" s="676"/>
      <c r="E159" s="678"/>
      <c r="F159" s="665"/>
      <c r="G159" s="24">
        <v>857</v>
      </c>
      <c r="H159" s="159" t="s">
        <v>34</v>
      </c>
      <c r="I159" s="159" t="s">
        <v>10</v>
      </c>
      <c r="J159" s="7" t="s">
        <v>455</v>
      </c>
      <c r="K159" s="170" t="s">
        <v>491</v>
      </c>
      <c r="L159" s="32">
        <v>4637.3</v>
      </c>
      <c r="M159" s="30">
        <v>0</v>
      </c>
      <c r="N159" s="30">
        <v>0</v>
      </c>
      <c r="O159" s="30">
        <v>0</v>
      </c>
      <c r="P159" s="30">
        <v>0</v>
      </c>
      <c r="Q159" s="30">
        <v>0</v>
      </c>
    </row>
    <row r="160" spans="1:17" ht="63.75" hidden="1" customHeight="1">
      <c r="A160" s="159" t="s">
        <v>110</v>
      </c>
      <c r="B160" s="159" t="s">
        <v>9</v>
      </c>
      <c r="C160" s="159" t="s">
        <v>34</v>
      </c>
      <c r="D160" s="159" t="s">
        <v>7</v>
      </c>
      <c r="E160" s="59" t="s">
        <v>175</v>
      </c>
      <c r="F160" s="1" t="s">
        <v>112</v>
      </c>
      <c r="G160" s="6">
        <v>843</v>
      </c>
      <c r="H160" s="7" t="s">
        <v>51</v>
      </c>
      <c r="I160" s="8" t="s">
        <v>25</v>
      </c>
      <c r="J160" s="7" t="s">
        <v>338</v>
      </c>
      <c r="K160" s="170" t="s">
        <v>392</v>
      </c>
      <c r="L160" s="30">
        <v>0</v>
      </c>
      <c r="M160" s="30">
        <v>55079.5</v>
      </c>
      <c r="N160" s="30">
        <v>0</v>
      </c>
      <c r="O160" s="30">
        <v>0</v>
      </c>
      <c r="P160" s="30">
        <v>0</v>
      </c>
      <c r="Q160" s="30">
        <f>P160*1.05</f>
        <v>0</v>
      </c>
    </row>
    <row r="161" spans="1:21" ht="51">
      <c r="A161" s="159" t="s">
        <v>110</v>
      </c>
      <c r="B161" s="159" t="s">
        <v>9</v>
      </c>
      <c r="C161" s="159" t="s">
        <v>35</v>
      </c>
      <c r="D161" s="159"/>
      <c r="E161" s="59" t="s">
        <v>339</v>
      </c>
      <c r="F161" s="1" t="s">
        <v>112</v>
      </c>
      <c r="G161" s="6">
        <v>843</v>
      </c>
      <c r="H161" s="7" t="s">
        <v>51</v>
      </c>
      <c r="I161" s="8" t="s">
        <v>25</v>
      </c>
      <c r="J161" s="7" t="s">
        <v>345</v>
      </c>
      <c r="K161" s="170">
        <v>612</v>
      </c>
      <c r="L161" s="30">
        <f t="shared" ref="L161:Q161" si="29">L162+L213</f>
        <v>9153.2999999999993</v>
      </c>
      <c r="M161" s="30">
        <f t="shared" si="29"/>
        <v>12806.3</v>
      </c>
      <c r="N161" s="30">
        <f t="shared" si="29"/>
        <v>17058</v>
      </c>
      <c r="O161" s="30">
        <f t="shared" si="29"/>
        <v>17910.900000000001</v>
      </c>
      <c r="P161" s="30">
        <f t="shared" si="29"/>
        <v>18806.445000000003</v>
      </c>
      <c r="Q161" s="30">
        <f t="shared" si="29"/>
        <v>19746.767250000004</v>
      </c>
    </row>
    <row r="162" spans="1:21" ht="51" hidden="1" customHeight="1">
      <c r="A162" s="159" t="s">
        <v>110</v>
      </c>
      <c r="B162" s="159" t="s">
        <v>9</v>
      </c>
      <c r="C162" s="159" t="s">
        <v>35</v>
      </c>
      <c r="D162" s="159" t="s">
        <v>7</v>
      </c>
      <c r="E162" s="59" t="s">
        <v>340</v>
      </c>
      <c r="F162" s="1" t="s">
        <v>112</v>
      </c>
      <c r="G162" s="6">
        <v>843</v>
      </c>
      <c r="H162" s="7" t="s">
        <v>51</v>
      </c>
      <c r="I162" s="8" t="s">
        <v>25</v>
      </c>
      <c r="J162" s="7" t="s">
        <v>346</v>
      </c>
      <c r="K162" s="170">
        <v>612</v>
      </c>
      <c r="L162" s="30">
        <v>0</v>
      </c>
      <c r="M162" s="30">
        <f>17075.1-4268.8</f>
        <v>12806.3</v>
      </c>
      <c r="N162" s="30">
        <v>17058</v>
      </c>
      <c r="O162" s="30">
        <f>N162*1.05</f>
        <v>17910.900000000001</v>
      </c>
      <c r="P162" s="30">
        <f>O162*1.05</f>
        <v>18806.445000000003</v>
      </c>
      <c r="Q162" s="30">
        <f>P162*1.05</f>
        <v>19746.767250000004</v>
      </c>
    </row>
    <row r="163" spans="1:21" ht="30" customHeight="1">
      <c r="A163" s="675" t="s">
        <v>110</v>
      </c>
      <c r="B163" s="501" t="s">
        <v>9</v>
      </c>
      <c r="C163" s="501" t="s">
        <v>51</v>
      </c>
      <c r="D163" s="501"/>
      <c r="E163" s="677" t="s">
        <v>341</v>
      </c>
      <c r="F163" s="519" t="s">
        <v>112</v>
      </c>
      <c r="G163" s="6">
        <v>843</v>
      </c>
      <c r="H163" s="7" t="s">
        <v>51</v>
      </c>
      <c r="I163" s="8" t="s">
        <v>25</v>
      </c>
      <c r="J163" s="7" t="s">
        <v>492</v>
      </c>
      <c r="K163" s="186">
        <v>612</v>
      </c>
      <c r="L163" s="30">
        <f>L165+L216+L164+3450.5</f>
        <v>6901</v>
      </c>
      <c r="M163" s="30">
        <f>M165+M216+M164</f>
        <v>16991.900000000001</v>
      </c>
      <c r="N163" s="30">
        <f>N165+N216+N164</f>
        <v>5189.7</v>
      </c>
      <c r="O163" s="30">
        <f>O165+O216+O164</f>
        <v>5449.1850000000004</v>
      </c>
      <c r="P163" s="30">
        <f>P165+P216+P164</f>
        <v>5721.6442500000003</v>
      </c>
      <c r="Q163" s="30">
        <f>Q165+Q216+Q164</f>
        <v>6007.7264625000007</v>
      </c>
    </row>
    <row r="164" spans="1:21" ht="21" customHeight="1">
      <c r="A164" s="676"/>
      <c r="B164" s="502"/>
      <c r="C164" s="502"/>
      <c r="D164" s="502"/>
      <c r="E164" s="678"/>
      <c r="F164" s="665"/>
      <c r="G164" s="6">
        <v>843</v>
      </c>
      <c r="H164" s="144">
        <v>10</v>
      </c>
      <c r="I164" s="8" t="s">
        <v>25</v>
      </c>
      <c r="J164" s="7" t="s">
        <v>462</v>
      </c>
      <c r="K164" s="186"/>
      <c r="L164" s="33">
        <f>3450.5-3450.5</f>
        <v>0</v>
      </c>
      <c r="M164" s="30">
        <v>0</v>
      </c>
      <c r="N164" s="30">
        <v>0</v>
      </c>
      <c r="O164" s="30">
        <v>0</v>
      </c>
      <c r="P164" s="30">
        <v>0</v>
      </c>
      <c r="Q164" s="30">
        <v>0</v>
      </c>
    </row>
    <row r="165" spans="1:21" ht="89.25" customHeight="1">
      <c r="A165" s="159" t="s">
        <v>110</v>
      </c>
      <c r="B165" s="159" t="s">
        <v>9</v>
      </c>
      <c r="C165" s="159" t="s">
        <v>51</v>
      </c>
      <c r="D165" s="159" t="s">
        <v>7</v>
      </c>
      <c r="E165" s="59" t="s">
        <v>342</v>
      </c>
      <c r="F165" s="1" t="s">
        <v>112</v>
      </c>
      <c r="G165" s="6">
        <v>843</v>
      </c>
      <c r="H165" s="7" t="s">
        <v>51</v>
      </c>
      <c r="I165" s="8" t="s">
        <v>25</v>
      </c>
      <c r="J165" s="7" t="s">
        <v>465</v>
      </c>
      <c r="K165" s="186">
        <v>612</v>
      </c>
      <c r="L165" s="30">
        <v>0</v>
      </c>
      <c r="M165" s="30">
        <f>5194.9+11797</f>
        <v>16991.900000000001</v>
      </c>
      <c r="N165" s="30">
        <v>5189.7</v>
      </c>
      <c r="O165" s="30">
        <f>N165*1.05</f>
        <v>5449.1850000000004</v>
      </c>
      <c r="P165" s="30">
        <f>O165*1.05</f>
        <v>5721.6442500000003</v>
      </c>
      <c r="Q165" s="30">
        <f>P165*1.05</f>
        <v>6007.7264625000007</v>
      </c>
    </row>
    <row r="166" spans="1:21" ht="38.25">
      <c r="A166" s="159" t="s">
        <v>110</v>
      </c>
      <c r="B166" s="159" t="s">
        <v>9</v>
      </c>
      <c r="C166" s="159" t="s">
        <v>68</v>
      </c>
      <c r="D166" s="8"/>
      <c r="E166" s="59" t="s">
        <v>343</v>
      </c>
      <c r="F166" s="1" t="s">
        <v>112</v>
      </c>
      <c r="G166" s="6">
        <v>843</v>
      </c>
      <c r="H166" s="7" t="s">
        <v>51</v>
      </c>
      <c r="I166" s="8" t="s">
        <v>8</v>
      </c>
      <c r="J166" s="7" t="s">
        <v>347</v>
      </c>
      <c r="K166" s="186">
        <v>630</v>
      </c>
      <c r="L166" s="30">
        <f t="shared" ref="L166:Q166" si="30">L167</f>
        <v>0</v>
      </c>
      <c r="M166" s="30">
        <f t="shared" si="30"/>
        <v>62.3</v>
      </c>
      <c r="N166" s="30">
        <f t="shared" si="30"/>
        <v>0</v>
      </c>
      <c r="O166" s="30">
        <f t="shared" si="30"/>
        <v>0</v>
      </c>
      <c r="P166" s="30">
        <f t="shared" si="30"/>
        <v>0</v>
      </c>
      <c r="Q166" s="30">
        <f t="shared" si="30"/>
        <v>0</v>
      </c>
    </row>
    <row r="167" spans="1:21" ht="38.25" hidden="1" customHeight="1">
      <c r="A167" s="159" t="s">
        <v>110</v>
      </c>
      <c r="B167" s="159" t="s">
        <v>9</v>
      </c>
      <c r="C167" s="159" t="s">
        <v>68</v>
      </c>
      <c r="D167" s="8" t="s">
        <v>7</v>
      </c>
      <c r="E167" s="59" t="s">
        <v>344</v>
      </c>
      <c r="F167" s="1" t="s">
        <v>112</v>
      </c>
      <c r="G167" s="6">
        <v>843</v>
      </c>
      <c r="H167" s="7" t="s">
        <v>51</v>
      </c>
      <c r="I167" s="8" t="s">
        <v>8</v>
      </c>
      <c r="J167" s="7" t="s">
        <v>348</v>
      </c>
      <c r="K167" s="186">
        <v>630</v>
      </c>
      <c r="L167" s="30">
        <v>0</v>
      </c>
      <c r="M167" s="30">
        <f>100-25-12.7</f>
        <v>62.3</v>
      </c>
      <c r="N167" s="30">
        <v>0</v>
      </c>
      <c r="O167" s="30">
        <f>N167*1.05</f>
        <v>0</v>
      </c>
      <c r="P167" s="30">
        <f>O167*1.05</f>
        <v>0</v>
      </c>
      <c r="Q167" s="30">
        <f>P167*1.05</f>
        <v>0</v>
      </c>
    </row>
    <row r="168" spans="1:21" s="18" customFormat="1" ht="51">
      <c r="A168" s="8"/>
      <c r="B168" s="8"/>
      <c r="C168" s="8"/>
      <c r="D168" s="6"/>
      <c r="E168" s="2" t="s">
        <v>486</v>
      </c>
      <c r="F168" s="1" t="s">
        <v>112</v>
      </c>
      <c r="G168" s="6">
        <v>843</v>
      </c>
      <c r="H168" s="8" t="s">
        <v>51</v>
      </c>
      <c r="I168" s="8" t="s">
        <v>8</v>
      </c>
      <c r="J168" s="7" t="s">
        <v>489</v>
      </c>
      <c r="K168" s="186" t="s">
        <v>493</v>
      </c>
      <c r="L168" s="32">
        <f>SUM(L169:L170)</f>
        <v>189560.5</v>
      </c>
      <c r="M168" s="32">
        <f>SUM(M169:M170)</f>
        <v>0</v>
      </c>
      <c r="N168" s="32">
        <f>SUM(N169:N170)-N169-N170</f>
        <v>0</v>
      </c>
      <c r="O168" s="32">
        <f>SUM(O169:O170)-O169-O170</f>
        <v>0</v>
      </c>
      <c r="P168" s="32">
        <f>SUM(P169:P170)-P169-P170</f>
        <v>0</v>
      </c>
      <c r="Q168" s="32">
        <f>SUM(Q169:Q170)-Q169-Q170</f>
        <v>0</v>
      </c>
    </row>
    <row r="169" spans="1:21" ht="51" hidden="1" customHeight="1">
      <c r="A169" s="159"/>
      <c r="B169" s="159"/>
      <c r="C169" s="159"/>
      <c r="D169" s="8"/>
      <c r="E169" s="160" t="s">
        <v>26</v>
      </c>
      <c r="F169" s="1" t="s">
        <v>112</v>
      </c>
      <c r="G169" s="6">
        <v>843</v>
      </c>
      <c r="H169" s="8" t="s">
        <v>51</v>
      </c>
      <c r="I169" s="8" t="s">
        <v>8</v>
      </c>
      <c r="J169" s="8" t="s">
        <v>150</v>
      </c>
      <c r="K169" s="186" t="s">
        <v>95</v>
      </c>
      <c r="L169" s="32">
        <v>145145.5</v>
      </c>
      <c r="M169" s="32">
        <v>0</v>
      </c>
      <c r="N169" s="32">
        <v>123590.6</v>
      </c>
      <c r="O169" s="30">
        <f t="shared" ref="O169:Q170" si="31">N169*1.05</f>
        <v>129770.13</v>
      </c>
      <c r="P169" s="30">
        <f t="shared" si="31"/>
        <v>136258.63650000002</v>
      </c>
      <c r="Q169" s="30">
        <f t="shared" si="31"/>
        <v>143071.56832500003</v>
      </c>
    </row>
    <row r="170" spans="1:21" ht="38.25" hidden="1" customHeight="1">
      <c r="A170" s="159"/>
      <c r="B170" s="159"/>
      <c r="C170" s="159"/>
      <c r="D170" s="8"/>
      <c r="E170" s="160" t="s">
        <v>27</v>
      </c>
      <c r="F170" s="1" t="s">
        <v>112</v>
      </c>
      <c r="G170" s="6">
        <v>843</v>
      </c>
      <c r="H170" s="144">
        <v>10</v>
      </c>
      <c r="I170" s="7" t="s">
        <v>8</v>
      </c>
      <c r="J170" s="7" t="s">
        <v>151</v>
      </c>
      <c r="K170" s="186" t="s">
        <v>96</v>
      </c>
      <c r="L170" s="32">
        <v>44415</v>
      </c>
      <c r="M170" s="32">
        <v>0</v>
      </c>
      <c r="N170" s="32">
        <v>32041.599999999999</v>
      </c>
      <c r="O170" s="30">
        <f t="shared" si="31"/>
        <v>33643.68</v>
      </c>
      <c r="P170" s="30">
        <f t="shared" si="31"/>
        <v>35325.864000000001</v>
      </c>
      <c r="Q170" s="30">
        <f t="shared" si="31"/>
        <v>37092.157200000001</v>
      </c>
    </row>
    <row r="171" spans="1:21" s="18" customFormat="1" ht="67.5" customHeight="1">
      <c r="A171" s="169"/>
      <c r="B171" s="169"/>
      <c r="C171" s="169"/>
      <c r="D171" s="171"/>
      <c r="E171" s="168" t="s">
        <v>487</v>
      </c>
      <c r="F171" s="1" t="s">
        <v>112</v>
      </c>
      <c r="G171" s="6">
        <v>843</v>
      </c>
      <c r="H171" s="170">
        <v>10</v>
      </c>
      <c r="I171" s="7" t="s">
        <v>8</v>
      </c>
      <c r="J171" s="7" t="s">
        <v>490</v>
      </c>
      <c r="K171" s="186" t="s">
        <v>494</v>
      </c>
      <c r="L171" s="32">
        <f>SUM(L172:L179)</f>
        <v>1286084</v>
      </c>
      <c r="M171" s="32">
        <f>SUM(M172:M179)</f>
        <v>0</v>
      </c>
      <c r="N171" s="32">
        <f>SUM(N172:N179)-N172-N173-N174-N175-N176-N177-N178-N179</f>
        <v>4.638422979041934E-11</v>
      </c>
      <c r="O171" s="32">
        <f>SUM(O172:O179)-O172-O173-O174-O175-O176-O177-O178-O179</f>
        <v>3.5925040720030665E-11</v>
      </c>
      <c r="P171" s="32">
        <f>SUM(P172:P179)-P172-P173-P174-P175-P176-P177-P178-P179</f>
        <v>2.9285729397088289E-10</v>
      </c>
      <c r="Q171" s="32">
        <f>SUM(Q172:Q179)-Q172-Q173-Q174-Q175-Q176-Q177-Q178-Q179</f>
        <v>1.850821718107909E-10</v>
      </c>
      <c r="R171" s="175">
        <f>N168+N171-R172-R175-R176</f>
        <v>-998081.99999999988</v>
      </c>
      <c r="S171" s="175">
        <f>O168+O171-S172-S175-S176</f>
        <v>-1047986.1</v>
      </c>
      <c r="T171" s="175">
        <f>P168+P171-T172-T175-T176</f>
        <v>-1100385.4049999998</v>
      </c>
      <c r="U171" s="175">
        <f>Q168+Q171-U172-U175-U176</f>
        <v>-1155404.6752499999</v>
      </c>
    </row>
    <row r="172" spans="1:21" ht="38.25" hidden="1" customHeight="1">
      <c r="A172" s="159"/>
      <c r="B172" s="159"/>
      <c r="C172" s="159"/>
      <c r="D172" s="8"/>
      <c r="E172" s="160" t="s">
        <v>28</v>
      </c>
      <c r="F172" s="1" t="s">
        <v>112</v>
      </c>
      <c r="G172" s="6">
        <v>843</v>
      </c>
      <c r="H172" s="144">
        <v>10</v>
      </c>
      <c r="I172" s="7" t="s">
        <v>8</v>
      </c>
      <c r="J172" s="7" t="s">
        <v>141</v>
      </c>
      <c r="K172" s="186">
        <v>611</v>
      </c>
      <c r="L172" s="32">
        <v>58967.1</v>
      </c>
      <c r="M172" s="32">
        <v>0</v>
      </c>
      <c r="N172" s="32">
        <v>43713.599999999999</v>
      </c>
      <c r="O172" s="30">
        <f t="shared" ref="O172:Q187" si="32">N172*1.05</f>
        <v>45899.28</v>
      </c>
      <c r="P172" s="30">
        <f t="shared" si="32"/>
        <v>48194.243999999999</v>
      </c>
      <c r="Q172" s="30">
        <f t="shared" si="32"/>
        <v>50603.956200000001</v>
      </c>
      <c r="R172" s="56">
        <f>N172+N173+N174</f>
        <v>417656.3</v>
      </c>
      <c r="S172" s="56">
        <f>O172+O173+O174</f>
        <v>438539.11500000005</v>
      </c>
      <c r="T172" s="56">
        <f>P172+P173+P174</f>
        <v>460466.07075000007</v>
      </c>
      <c r="U172" s="56">
        <f>Q172+Q173+Q174</f>
        <v>483489.37428750005</v>
      </c>
    </row>
    <row r="173" spans="1:21" ht="38.25" hidden="1" customHeight="1">
      <c r="A173" s="159"/>
      <c r="B173" s="159"/>
      <c r="C173" s="159"/>
      <c r="D173" s="8"/>
      <c r="E173" s="160" t="s">
        <v>29</v>
      </c>
      <c r="F173" s="1" t="s">
        <v>112</v>
      </c>
      <c r="G173" s="6">
        <v>843</v>
      </c>
      <c r="H173" s="144">
        <v>10</v>
      </c>
      <c r="I173" s="7" t="s">
        <v>8</v>
      </c>
      <c r="J173" s="7" t="s">
        <v>142</v>
      </c>
      <c r="K173" s="170">
        <v>611</v>
      </c>
      <c r="L173" s="32">
        <v>370261.6</v>
      </c>
      <c r="M173" s="32">
        <v>0</v>
      </c>
      <c r="N173" s="32">
        <v>276754.2</v>
      </c>
      <c r="O173" s="30">
        <f t="shared" si="32"/>
        <v>290591.91000000003</v>
      </c>
      <c r="P173" s="30">
        <f t="shared" si="32"/>
        <v>305121.50550000003</v>
      </c>
      <c r="Q173" s="30">
        <f t="shared" si="32"/>
        <v>320377.58077500004</v>
      </c>
    </row>
    <row r="174" spans="1:21" ht="38.25" hidden="1" customHeight="1">
      <c r="A174" s="159"/>
      <c r="B174" s="159"/>
      <c r="C174" s="159"/>
      <c r="D174" s="8"/>
      <c r="E174" s="160" t="s">
        <v>30</v>
      </c>
      <c r="F174" s="1" t="s">
        <v>112</v>
      </c>
      <c r="G174" s="6">
        <v>843</v>
      </c>
      <c r="H174" s="144">
        <v>10</v>
      </c>
      <c r="I174" s="7" t="s">
        <v>8</v>
      </c>
      <c r="J174" s="7" t="s">
        <v>143</v>
      </c>
      <c r="K174" s="170">
        <v>611</v>
      </c>
      <c r="L174" s="32">
        <v>122834</v>
      </c>
      <c r="M174" s="32">
        <v>0</v>
      </c>
      <c r="N174" s="32">
        <v>97188.5</v>
      </c>
      <c r="O174" s="30">
        <f t="shared" si="32"/>
        <v>102047.925</v>
      </c>
      <c r="P174" s="30">
        <f t="shared" si="32"/>
        <v>107150.32125000001</v>
      </c>
      <c r="Q174" s="30">
        <f t="shared" si="32"/>
        <v>112507.83731250001</v>
      </c>
    </row>
    <row r="175" spans="1:21" ht="38.25" hidden="1" customHeight="1">
      <c r="A175" s="159"/>
      <c r="B175" s="159"/>
      <c r="C175" s="159"/>
      <c r="D175" s="8"/>
      <c r="E175" s="160" t="s">
        <v>31</v>
      </c>
      <c r="F175" s="1" t="s">
        <v>112</v>
      </c>
      <c r="G175" s="6">
        <v>843</v>
      </c>
      <c r="H175" s="144">
        <v>10</v>
      </c>
      <c r="I175" s="7" t="s">
        <v>8</v>
      </c>
      <c r="J175" s="7" t="s">
        <v>144</v>
      </c>
      <c r="K175" s="170">
        <v>611</v>
      </c>
      <c r="L175" s="32">
        <v>40711.699999999997</v>
      </c>
      <c r="M175" s="32">
        <v>0</v>
      </c>
      <c r="N175" s="32">
        <v>32775.1</v>
      </c>
      <c r="O175" s="30">
        <f t="shared" si="32"/>
        <v>34413.855000000003</v>
      </c>
      <c r="P175" s="30">
        <f t="shared" si="32"/>
        <v>36134.547750000005</v>
      </c>
      <c r="Q175" s="30">
        <f t="shared" si="32"/>
        <v>37941.275137500008</v>
      </c>
      <c r="R175" s="56">
        <f>N175</f>
        <v>32775.1</v>
      </c>
      <c r="S175" s="56">
        <f>O175</f>
        <v>34413.855000000003</v>
      </c>
      <c r="T175" s="56">
        <f>P175</f>
        <v>36134.547750000005</v>
      </c>
      <c r="U175" s="56">
        <f>Q175</f>
        <v>37941.275137500008</v>
      </c>
    </row>
    <row r="176" spans="1:21" ht="38.25" hidden="1" customHeight="1">
      <c r="A176" s="159"/>
      <c r="B176" s="159"/>
      <c r="C176" s="159"/>
      <c r="D176" s="8"/>
      <c r="E176" s="160" t="s">
        <v>32</v>
      </c>
      <c r="F176" s="1" t="s">
        <v>112</v>
      </c>
      <c r="G176" s="6">
        <v>843</v>
      </c>
      <c r="H176" s="144">
        <v>10</v>
      </c>
      <c r="I176" s="7" t="s">
        <v>8</v>
      </c>
      <c r="J176" s="7" t="s">
        <v>152</v>
      </c>
      <c r="K176" s="170">
        <v>611</v>
      </c>
      <c r="L176" s="32">
        <v>10043.299999999999</v>
      </c>
      <c r="M176" s="32">
        <v>0</v>
      </c>
      <c r="N176" s="32">
        <v>6890.1</v>
      </c>
      <c r="O176" s="30">
        <f t="shared" si="32"/>
        <v>7234.6050000000005</v>
      </c>
      <c r="P176" s="30">
        <f t="shared" si="32"/>
        <v>7596.335250000001</v>
      </c>
      <c r="Q176" s="30">
        <f t="shared" si="32"/>
        <v>7976.1520125000015</v>
      </c>
      <c r="R176" s="56">
        <f>N168+N176+N177+N178+N179</f>
        <v>547650.6</v>
      </c>
      <c r="S176" s="56">
        <f>O168+O176+O177+O178+O179</f>
        <v>575033.13</v>
      </c>
      <c r="T176" s="56">
        <f>P168+P176+P177+P178+P179</f>
        <v>603784.78649999993</v>
      </c>
      <c r="U176" s="56">
        <f>Q168+Q176+Q177+Q178+Q179</f>
        <v>633974.02582500002</v>
      </c>
    </row>
    <row r="177" spans="1:21" ht="38.25" hidden="1" customHeight="1">
      <c r="A177" s="7"/>
      <c r="B177" s="8"/>
      <c r="C177" s="8"/>
      <c r="D177" s="8"/>
      <c r="E177" s="1" t="s">
        <v>88</v>
      </c>
      <c r="F177" s="1" t="s">
        <v>112</v>
      </c>
      <c r="G177" s="6">
        <v>843</v>
      </c>
      <c r="H177" s="144">
        <v>10</v>
      </c>
      <c r="I177" s="7" t="s">
        <v>8</v>
      </c>
      <c r="J177" s="7" t="s">
        <v>153</v>
      </c>
      <c r="K177" s="170">
        <v>611</v>
      </c>
      <c r="L177" s="32">
        <v>668638.1</v>
      </c>
      <c r="M177" s="32">
        <v>0</v>
      </c>
      <c r="N177" s="32">
        <v>526310.69999999995</v>
      </c>
      <c r="O177" s="30">
        <f t="shared" si="32"/>
        <v>552626.23499999999</v>
      </c>
      <c r="P177" s="30">
        <f t="shared" si="32"/>
        <v>580257.54674999998</v>
      </c>
      <c r="Q177" s="30">
        <f t="shared" si="32"/>
        <v>609270.42408749997</v>
      </c>
      <c r="S177" s="56"/>
      <c r="T177" s="56"/>
      <c r="U177" s="56"/>
    </row>
    <row r="178" spans="1:21" ht="38.25" hidden="1" customHeight="1">
      <c r="A178" s="142"/>
      <c r="B178" s="140"/>
      <c r="C178" s="140"/>
      <c r="D178" s="8"/>
      <c r="E178" s="1" t="s">
        <v>168</v>
      </c>
      <c r="F178" s="1" t="s">
        <v>112</v>
      </c>
      <c r="G178" s="6">
        <v>843</v>
      </c>
      <c r="H178" s="144">
        <v>10</v>
      </c>
      <c r="I178" s="7" t="s">
        <v>8</v>
      </c>
      <c r="J178" s="7" t="s">
        <v>171</v>
      </c>
      <c r="K178" s="170">
        <v>611</v>
      </c>
      <c r="L178" s="32">
        <v>11371.1</v>
      </c>
      <c r="M178" s="32">
        <v>0</v>
      </c>
      <c r="N178" s="32">
        <v>11196</v>
      </c>
      <c r="O178" s="30">
        <f t="shared" si="32"/>
        <v>11755.800000000001</v>
      </c>
      <c r="P178" s="30">
        <f t="shared" si="32"/>
        <v>12343.590000000002</v>
      </c>
      <c r="Q178" s="30">
        <f t="shared" si="32"/>
        <v>12960.769500000002</v>
      </c>
    </row>
    <row r="179" spans="1:21" ht="38.25" hidden="1" customHeight="1">
      <c r="A179" s="7"/>
      <c r="B179" s="8"/>
      <c r="C179" s="8"/>
      <c r="D179" s="8"/>
      <c r="E179" s="1" t="s">
        <v>169</v>
      </c>
      <c r="F179" s="1" t="s">
        <v>112</v>
      </c>
      <c r="G179" s="6">
        <v>843</v>
      </c>
      <c r="H179" s="144">
        <v>10</v>
      </c>
      <c r="I179" s="7" t="s">
        <v>8</v>
      </c>
      <c r="J179" s="7" t="s">
        <v>170</v>
      </c>
      <c r="K179" s="170">
        <v>611</v>
      </c>
      <c r="L179" s="32">
        <v>3257.1</v>
      </c>
      <c r="M179" s="32">
        <v>0</v>
      </c>
      <c r="N179" s="32">
        <v>3253.8</v>
      </c>
      <c r="O179" s="30">
        <f t="shared" si="32"/>
        <v>3416.4900000000002</v>
      </c>
      <c r="P179" s="30">
        <f t="shared" si="32"/>
        <v>3587.3145000000004</v>
      </c>
      <c r="Q179" s="30">
        <f t="shared" si="32"/>
        <v>3766.6802250000005</v>
      </c>
    </row>
    <row r="180" spans="1:21" ht="38.25" hidden="1">
      <c r="A180" s="159"/>
      <c r="B180" s="159"/>
      <c r="C180" s="159"/>
      <c r="D180" s="8"/>
      <c r="E180" s="1" t="s">
        <v>65</v>
      </c>
      <c r="F180" s="1" t="s">
        <v>112</v>
      </c>
      <c r="G180" s="6">
        <v>843</v>
      </c>
      <c r="H180" s="144">
        <v>10</v>
      </c>
      <c r="I180" s="7" t="s">
        <v>8</v>
      </c>
      <c r="J180" s="7" t="s">
        <v>139</v>
      </c>
      <c r="K180" s="170" t="s">
        <v>109</v>
      </c>
      <c r="L180" s="32">
        <f>9352.3+22420.8</f>
        <v>31773.1</v>
      </c>
      <c r="M180" s="32">
        <v>0</v>
      </c>
      <c r="N180" s="100">
        <v>32779.9</v>
      </c>
      <c r="O180" s="166">
        <f t="shared" si="32"/>
        <v>34418.895000000004</v>
      </c>
      <c r="P180" s="166">
        <f t="shared" si="32"/>
        <v>36139.839750000006</v>
      </c>
      <c r="Q180" s="166">
        <f t="shared" si="32"/>
        <v>37946.831737500012</v>
      </c>
    </row>
    <row r="181" spans="1:21" ht="38.25">
      <c r="A181" s="159"/>
      <c r="B181" s="159"/>
      <c r="C181" s="159"/>
      <c r="D181" s="8"/>
      <c r="E181" s="160" t="s">
        <v>80</v>
      </c>
      <c r="F181" s="1" t="s">
        <v>112</v>
      </c>
      <c r="G181" s="6">
        <v>843</v>
      </c>
      <c r="H181" s="144">
        <v>10</v>
      </c>
      <c r="I181" s="7" t="s">
        <v>8</v>
      </c>
      <c r="J181" s="7" t="s">
        <v>145</v>
      </c>
      <c r="K181" s="170">
        <v>321</v>
      </c>
      <c r="L181" s="32">
        <v>127.9</v>
      </c>
      <c r="M181" s="32">
        <v>0</v>
      </c>
      <c r="N181" s="32">
        <v>0</v>
      </c>
      <c r="O181" s="32">
        <v>0</v>
      </c>
      <c r="P181" s="32">
        <v>0</v>
      </c>
      <c r="Q181" s="30">
        <f t="shared" si="32"/>
        <v>0</v>
      </c>
    </row>
    <row r="182" spans="1:21" ht="51">
      <c r="A182" s="159"/>
      <c r="B182" s="159"/>
      <c r="C182" s="159"/>
      <c r="D182" s="8"/>
      <c r="E182" s="160" t="s">
        <v>82</v>
      </c>
      <c r="F182" s="1" t="s">
        <v>112</v>
      </c>
      <c r="G182" s="6">
        <v>843</v>
      </c>
      <c r="H182" s="144">
        <v>10</v>
      </c>
      <c r="I182" s="7" t="s">
        <v>8</v>
      </c>
      <c r="J182" s="7" t="s">
        <v>146</v>
      </c>
      <c r="K182" s="170">
        <v>321</v>
      </c>
      <c r="L182" s="32">
        <v>628.70000000000005</v>
      </c>
      <c r="M182" s="32">
        <v>0</v>
      </c>
      <c r="N182" s="32">
        <v>0</v>
      </c>
      <c r="O182" s="32">
        <v>0</v>
      </c>
      <c r="P182" s="32">
        <v>0</v>
      </c>
      <c r="Q182" s="30">
        <f t="shared" si="32"/>
        <v>0</v>
      </c>
    </row>
    <row r="183" spans="1:21" ht="51">
      <c r="A183" s="159"/>
      <c r="B183" s="159"/>
      <c r="C183" s="159"/>
      <c r="D183" s="8"/>
      <c r="E183" s="160" t="s">
        <v>81</v>
      </c>
      <c r="F183" s="1" t="s">
        <v>112</v>
      </c>
      <c r="G183" s="6">
        <v>843</v>
      </c>
      <c r="H183" s="144">
        <v>10</v>
      </c>
      <c r="I183" s="7" t="s">
        <v>8</v>
      </c>
      <c r="J183" s="7" t="s">
        <v>147</v>
      </c>
      <c r="K183" s="170">
        <v>321</v>
      </c>
      <c r="L183" s="32">
        <v>0.5</v>
      </c>
      <c r="M183" s="32">
        <v>0</v>
      </c>
      <c r="N183" s="32">
        <v>0</v>
      </c>
      <c r="O183" s="32">
        <v>0</v>
      </c>
      <c r="P183" s="32">
        <v>0</v>
      </c>
      <c r="Q183" s="30">
        <f t="shared" si="32"/>
        <v>0</v>
      </c>
    </row>
    <row r="184" spans="1:21" ht="38.25">
      <c r="A184" s="50"/>
      <c r="B184" s="50"/>
      <c r="C184" s="50"/>
      <c r="D184" s="50"/>
      <c r="E184" s="160" t="s">
        <v>77</v>
      </c>
      <c r="F184" s="1" t="s">
        <v>112</v>
      </c>
      <c r="G184" s="6">
        <v>843</v>
      </c>
      <c r="H184" s="144">
        <v>10</v>
      </c>
      <c r="I184" s="7" t="s">
        <v>8</v>
      </c>
      <c r="J184" s="7" t="s">
        <v>148</v>
      </c>
      <c r="K184" s="170">
        <v>340</v>
      </c>
      <c r="L184" s="32">
        <v>2183.8000000000002</v>
      </c>
      <c r="M184" s="32">
        <v>0</v>
      </c>
      <c r="N184" s="32">
        <v>0</v>
      </c>
      <c r="O184" s="32">
        <v>0</v>
      </c>
      <c r="P184" s="32">
        <v>0</v>
      </c>
      <c r="Q184" s="30">
        <f t="shared" si="32"/>
        <v>0</v>
      </c>
    </row>
    <row r="185" spans="1:21" ht="76.5" hidden="1" customHeight="1">
      <c r="A185" s="159"/>
      <c r="B185" s="159"/>
      <c r="C185" s="159"/>
      <c r="D185" s="8"/>
      <c r="E185" s="160" t="s">
        <v>78</v>
      </c>
      <c r="F185" s="1" t="s">
        <v>112</v>
      </c>
      <c r="G185" s="6">
        <v>843</v>
      </c>
      <c r="H185" s="144">
        <v>10</v>
      </c>
      <c r="I185" s="7" t="s">
        <v>8</v>
      </c>
      <c r="J185" s="7" t="s">
        <v>148</v>
      </c>
      <c r="K185" s="8" t="s">
        <v>52</v>
      </c>
      <c r="L185" s="32"/>
      <c r="M185" s="32">
        <v>0</v>
      </c>
      <c r="N185" s="32">
        <v>0</v>
      </c>
      <c r="O185" s="32">
        <v>0</v>
      </c>
      <c r="P185" s="32">
        <v>0</v>
      </c>
      <c r="Q185" s="30">
        <f t="shared" si="32"/>
        <v>0</v>
      </c>
    </row>
    <row r="186" spans="1:21" ht="38.25">
      <c r="A186" s="159"/>
      <c r="B186" s="159"/>
      <c r="C186" s="159"/>
      <c r="D186" s="8"/>
      <c r="E186" s="160" t="s">
        <v>306</v>
      </c>
      <c r="F186" s="1"/>
      <c r="G186" s="6">
        <v>843</v>
      </c>
      <c r="H186" s="144">
        <v>10</v>
      </c>
      <c r="I186" s="7" t="s">
        <v>8</v>
      </c>
      <c r="J186" s="7" t="s">
        <v>463</v>
      </c>
      <c r="K186" s="8" t="s">
        <v>52</v>
      </c>
      <c r="L186" s="32">
        <v>40.700000000000003</v>
      </c>
      <c r="M186" s="32">
        <v>0</v>
      </c>
      <c r="N186" s="32">
        <v>0</v>
      </c>
      <c r="O186" s="32">
        <v>0</v>
      </c>
      <c r="P186" s="32">
        <v>0</v>
      </c>
      <c r="Q186" s="30">
        <f t="shared" si="32"/>
        <v>0</v>
      </c>
    </row>
    <row r="187" spans="1:21" ht="76.5">
      <c r="A187" s="159"/>
      <c r="B187" s="159"/>
      <c r="C187" s="159"/>
      <c r="D187" s="8"/>
      <c r="E187" s="160" t="s">
        <v>79</v>
      </c>
      <c r="F187" s="1" t="s">
        <v>112</v>
      </c>
      <c r="G187" s="6">
        <v>843</v>
      </c>
      <c r="H187" s="144">
        <v>10</v>
      </c>
      <c r="I187" s="7" t="s">
        <v>8</v>
      </c>
      <c r="J187" s="7" t="s">
        <v>149</v>
      </c>
      <c r="K187" s="170">
        <v>321</v>
      </c>
      <c r="L187" s="32">
        <v>3328.5</v>
      </c>
      <c r="M187" s="32">
        <v>0</v>
      </c>
      <c r="N187" s="32">
        <v>0</v>
      </c>
      <c r="O187" s="32">
        <v>0</v>
      </c>
      <c r="P187" s="32">
        <v>0</v>
      </c>
      <c r="Q187" s="30">
        <f t="shared" si="32"/>
        <v>0</v>
      </c>
    </row>
    <row r="188" spans="1:21" ht="38.25" hidden="1" customHeight="1">
      <c r="A188" s="7"/>
      <c r="B188" s="8"/>
      <c r="C188" s="159"/>
      <c r="D188" s="8"/>
      <c r="E188" s="2" t="s">
        <v>71</v>
      </c>
      <c r="F188" s="1" t="s">
        <v>112</v>
      </c>
      <c r="G188" s="6">
        <v>843</v>
      </c>
      <c r="H188" s="144">
        <v>10</v>
      </c>
      <c r="I188" s="7" t="s">
        <v>8</v>
      </c>
      <c r="J188" s="7" t="s">
        <v>140</v>
      </c>
      <c r="K188" s="170"/>
      <c r="L188" s="32">
        <v>202.6</v>
      </c>
      <c r="M188" s="32">
        <v>0</v>
      </c>
      <c r="N188" s="32">
        <v>0</v>
      </c>
      <c r="O188" s="32">
        <v>0</v>
      </c>
      <c r="P188" s="32">
        <v>0</v>
      </c>
      <c r="Q188" s="30">
        <f t="shared" ref="Q188:Q235" si="33">P188*1.05</f>
        <v>0</v>
      </c>
    </row>
    <row r="189" spans="1:21" ht="38.25" hidden="1" customHeight="1">
      <c r="A189" s="159"/>
      <c r="B189" s="8"/>
      <c r="C189" s="159"/>
      <c r="D189" s="8"/>
      <c r="E189" s="2" t="s">
        <v>89</v>
      </c>
      <c r="F189" s="1" t="s">
        <v>112</v>
      </c>
      <c r="G189" s="6">
        <v>843</v>
      </c>
      <c r="H189" s="144">
        <v>10</v>
      </c>
      <c r="I189" s="7" t="s">
        <v>8</v>
      </c>
      <c r="J189" s="7" t="s">
        <v>140</v>
      </c>
      <c r="K189" s="170">
        <v>612</v>
      </c>
      <c r="L189" s="32">
        <v>202.6</v>
      </c>
      <c r="M189" s="32">
        <v>0</v>
      </c>
      <c r="N189" s="32">
        <v>0</v>
      </c>
      <c r="O189" s="32">
        <v>0</v>
      </c>
      <c r="P189" s="32">
        <v>0</v>
      </c>
      <c r="Q189" s="30">
        <f t="shared" si="33"/>
        <v>0</v>
      </c>
    </row>
    <row r="190" spans="1:21" ht="51" hidden="1" customHeight="1">
      <c r="A190" s="159"/>
      <c r="B190" s="8"/>
      <c r="C190" s="159"/>
      <c r="D190" s="8"/>
      <c r="E190" s="2" t="s">
        <v>91</v>
      </c>
      <c r="F190" s="1" t="s">
        <v>112</v>
      </c>
      <c r="G190" s="6">
        <v>843</v>
      </c>
      <c r="H190" s="144">
        <v>10</v>
      </c>
      <c r="I190" s="7" t="s">
        <v>8</v>
      </c>
      <c r="J190" s="7" t="s">
        <v>140</v>
      </c>
      <c r="K190" s="170">
        <v>321</v>
      </c>
      <c r="L190" s="32"/>
      <c r="M190" s="32">
        <v>0</v>
      </c>
      <c r="N190" s="32">
        <v>0</v>
      </c>
      <c r="O190" s="32">
        <v>0</v>
      </c>
      <c r="P190" s="32">
        <v>0</v>
      </c>
      <c r="Q190" s="30">
        <f t="shared" si="33"/>
        <v>0</v>
      </c>
    </row>
    <row r="191" spans="1:21" ht="44.25" hidden="1" customHeight="1">
      <c r="A191" s="7"/>
      <c r="B191" s="8"/>
      <c r="C191" s="8"/>
      <c r="D191" s="140"/>
      <c r="E191" s="2" t="s">
        <v>90</v>
      </c>
      <c r="F191" s="1" t="s">
        <v>112</v>
      </c>
      <c r="G191" s="6">
        <v>843</v>
      </c>
      <c r="H191" s="144">
        <v>10</v>
      </c>
      <c r="I191" s="7" t="s">
        <v>8</v>
      </c>
      <c r="J191" s="7" t="s">
        <v>154</v>
      </c>
      <c r="K191" s="170" t="s">
        <v>98</v>
      </c>
      <c r="L191" s="32">
        <v>45498.6</v>
      </c>
      <c r="M191" s="32">
        <v>0</v>
      </c>
      <c r="N191" s="32">
        <v>0</v>
      </c>
      <c r="O191" s="32">
        <v>0</v>
      </c>
      <c r="P191" s="32">
        <v>0</v>
      </c>
      <c r="Q191" s="30">
        <f t="shared" si="33"/>
        <v>0</v>
      </c>
    </row>
    <row r="192" spans="1:21" ht="38.25" hidden="1" customHeight="1">
      <c r="A192" s="159"/>
      <c r="B192" s="8"/>
      <c r="C192" s="8"/>
      <c r="D192" s="140"/>
      <c r="E192" s="17" t="s">
        <v>100</v>
      </c>
      <c r="F192" s="1" t="s">
        <v>112</v>
      </c>
      <c r="G192" s="6">
        <v>843</v>
      </c>
      <c r="H192" s="144">
        <v>10</v>
      </c>
      <c r="I192" s="7" t="s">
        <v>8</v>
      </c>
      <c r="J192" s="7" t="s">
        <v>154</v>
      </c>
      <c r="K192" s="170">
        <v>321</v>
      </c>
      <c r="L192" s="32">
        <v>41624.51053</v>
      </c>
      <c r="M192" s="32">
        <v>0</v>
      </c>
      <c r="N192" s="32">
        <v>0</v>
      </c>
      <c r="O192" s="32">
        <v>0</v>
      </c>
      <c r="P192" s="32">
        <v>0</v>
      </c>
      <c r="Q192" s="30">
        <f t="shared" si="33"/>
        <v>0</v>
      </c>
    </row>
    <row r="193" spans="1:18" ht="38.25" hidden="1" customHeight="1">
      <c r="A193" s="159"/>
      <c r="B193" s="8"/>
      <c r="C193" s="8"/>
      <c r="D193" s="140"/>
      <c r="E193" s="160" t="s">
        <v>101</v>
      </c>
      <c r="F193" s="1" t="s">
        <v>112</v>
      </c>
      <c r="G193" s="6">
        <v>843</v>
      </c>
      <c r="H193" s="144">
        <v>10</v>
      </c>
      <c r="I193" s="7" t="s">
        <v>8</v>
      </c>
      <c r="J193" s="7" t="s">
        <v>97</v>
      </c>
      <c r="K193" s="170"/>
      <c r="L193" s="32"/>
      <c r="M193" s="32">
        <v>0</v>
      </c>
      <c r="N193" s="32">
        <v>0</v>
      </c>
      <c r="O193" s="32">
        <v>0</v>
      </c>
      <c r="P193" s="32">
        <v>0</v>
      </c>
      <c r="Q193" s="30">
        <f t="shared" si="33"/>
        <v>0</v>
      </c>
    </row>
    <row r="194" spans="1:18" ht="38.25" hidden="1" customHeight="1">
      <c r="A194" s="7"/>
      <c r="B194" s="8"/>
      <c r="C194" s="8"/>
      <c r="D194" s="140"/>
      <c r="E194" s="160" t="s">
        <v>102</v>
      </c>
      <c r="F194" s="1" t="s">
        <v>112</v>
      </c>
      <c r="G194" s="6">
        <v>843</v>
      </c>
      <c r="H194" s="144">
        <v>10</v>
      </c>
      <c r="I194" s="7" t="s">
        <v>8</v>
      </c>
      <c r="J194" s="7" t="s">
        <v>97</v>
      </c>
      <c r="K194" s="170"/>
      <c r="L194" s="32"/>
      <c r="M194" s="32">
        <v>0</v>
      </c>
      <c r="N194" s="32">
        <v>0</v>
      </c>
      <c r="O194" s="32">
        <v>0</v>
      </c>
      <c r="P194" s="32">
        <v>0</v>
      </c>
      <c r="Q194" s="30">
        <f t="shared" si="33"/>
        <v>0</v>
      </c>
    </row>
    <row r="195" spans="1:18" ht="89.25" hidden="1" customHeight="1">
      <c r="A195" s="159"/>
      <c r="B195" s="8"/>
      <c r="C195" s="8"/>
      <c r="D195" s="140"/>
      <c r="E195" s="160" t="s">
        <v>103</v>
      </c>
      <c r="F195" s="1" t="s">
        <v>112</v>
      </c>
      <c r="G195" s="6">
        <v>843</v>
      </c>
      <c r="H195" s="144">
        <v>10</v>
      </c>
      <c r="I195" s="7" t="s">
        <v>8</v>
      </c>
      <c r="J195" s="7" t="s">
        <v>97</v>
      </c>
      <c r="K195" s="170"/>
      <c r="L195" s="32"/>
      <c r="M195" s="32">
        <v>0</v>
      </c>
      <c r="N195" s="32">
        <v>0</v>
      </c>
      <c r="O195" s="32">
        <v>0</v>
      </c>
      <c r="P195" s="32">
        <v>0</v>
      </c>
      <c r="Q195" s="30">
        <f t="shared" si="33"/>
        <v>0</v>
      </c>
    </row>
    <row r="196" spans="1:18" ht="38.25" hidden="1" customHeight="1">
      <c r="A196" s="159"/>
      <c r="B196" s="8"/>
      <c r="C196" s="8"/>
      <c r="D196" s="140"/>
      <c r="E196" s="160" t="s">
        <v>104</v>
      </c>
      <c r="F196" s="1" t="s">
        <v>112</v>
      </c>
      <c r="G196" s="6">
        <v>843</v>
      </c>
      <c r="H196" s="144">
        <v>10</v>
      </c>
      <c r="I196" s="7" t="s">
        <v>8</v>
      </c>
      <c r="J196" s="7" t="s">
        <v>97</v>
      </c>
      <c r="K196" s="170"/>
      <c r="L196" s="32"/>
      <c r="M196" s="32">
        <v>0</v>
      </c>
      <c r="N196" s="32">
        <v>0</v>
      </c>
      <c r="O196" s="32">
        <v>0</v>
      </c>
      <c r="P196" s="32">
        <v>0</v>
      </c>
      <c r="Q196" s="30">
        <f t="shared" si="33"/>
        <v>0</v>
      </c>
    </row>
    <row r="197" spans="1:18" ht="38.25" hidden="1" customHeight="1">
      <c r="A197" s="7"/>
      <c r="B197" s="8"/>
      <c r="C197" s="8"/>
      <c r="D197" s="140"/>
      <c r="E197" s="160" t="s">
        <v>105</v>
      </c>
      <c r="F197" s="1" t="s">
        <v>112</v>
      </c>
      <c r="G197" s="6">
        <v>843</v>
      </c>
      <c r="H197" s="144">
        <v>10</v>
      </c>
      <c r="I197" s="7" t="s">
        <v>8</v>
      </c>
      <c r="J197" s="7" t="s">
        <v>97</v>
      </c>
      <c r="K197" s="170"/>
      <c r="L197" s="32"/>
      <c r="M197" s="32">
        <v>0</v>
      </c>
      <c r="N197" s="32">
        <v>0</v>
      </c>
      <c r="O197" s="32">
        <v>0</v>
      </c>
      <c r="P197" s="32">
        <v>0</v>
      </c>
      <c r="Q197" s="30">
        <f t="shared" si="33"/>
        <v>0</v>
      </c>
    </row>
    <row r="198" spans="1:18" ht="38.25" hidden="1" customHeight="1">
      <c r="A198" s="159"/>
      <c r="B198" s="8"/>
      <c r="C198" s="8"/>
      <c r="D198" s="140"/>
      <c r="E198" s="17" t="s">
        <v>106</v>
      </c>
      <c r="F198" s="1" t="s">
        <v>112</v>
      </c>
      <c r="G198" s="6">
        <v>843</v>
      </c>
      <c r="H198" s="144">
        <v>10</v>
      </c>
      <c r="I198" s="7" t="s">
        <v>8</v>
      </c>
      <c r="J198" s="7" t="s">
        <v>154</v>
      </c>
      <c r="K198" s="170">
        <v>244</v>
      </c>
      <c r="L198" s="32">
        <f>L191-L192</f>
        <v>3874.089469999999</v>
      </c>
      <c r="M198" s="32">
        <v>0</v>
      </c>
      <c r="N198" s="32">
        <v>0</v>
      </c>
      <c r="O198" s="32">
        <v>0</v>
      </c>
      <c r="P198" s="32">
        <v>0</v>
      </c>
      <c r="Q198" s="30">
        <f t="shared" si="33"/>
        <v>0</v>
      </c>
    </row>
    <row r="199" spans="1:18" ht="51" hidden="1" customHeight="1">
      <c r="A199" s="159"/>
      <c r="B199" s="8"/>
      <c r="C199" s="8"/>
      <c r="D199" s="140"/>
      <c r="E199" s="160" t="s">
        <v>107</v>
      </c>
      <c r="F199" s="1" t="s">
        <v>112</v>
      </c>
      <c r="G199" s="6">
        <v>843</v>
      </c>
      <c r="H199" s="144">
        <v>10</v>
      </c>
      <c r="I199" s="7" t="s">
        <v>8</v>
      </c>
      <c r="J199" s="7" t="s">
        <v>97</v>
      </c>
      <c r="K199" s="170"/>
      <c r="L199" s="32"/>
      <c r="M199" s="32">
        <v>0</v>
      </c>
      <c r="N199" s="32">
        <v>0</v>
      </c>
      <c r="O199" s="32">
        <v>0</v>
      </c>
      <c r="P199" s="32">
        <v>0</v>
      </c>
      <c r="Q199" s="30">
        <f t="shared" si="33"/>
        <v>0</v>
      </c>
    </row>
    <row r="200" spans="1:18" ht="114.75" hidden="1" customHeight="1">
      <c r="A200" s="7"/>
      <c r="B200" s="8"/>
      <c r="C200" s="8"/>
      <c r="D200" s="140"/>
      <c r="E200" s="160" t="s">
        <v>108</v>
      </c>
      <c r="F200" s="1" t="s">
        <v>112</v>
      </c>
      <c r="G200" s="6">
        <v>843</v>
      </c>
      <c r="H200" s="144">
        <v>10</v>
      </c>
      <c r="I200" s="7" t="s">
        <v>8</v>
      </c>
      <c r="J200" s="7" t="s">
        <v>97</v>
      </c>
      <c r="K200" s="170"/>
      <c r="L200" s="32"/>
      <c r="M200" s="32">
        <v>0</v>
      </c>
      <c r="N200" s="32">
        <v>0</v>
      </c>
      <c r="O200" s="32">
        <v>0</v>
      </c>
      <c r="P200" s="32">
        <v>0</v>
      </c>
      <c r="Q200" s="30">
        <f t="shared" si="33"/>
        <v>0</v>
      </c>
    </row>
    <row r="201" spans="1:18" ht="27.75" hidden="1" customHeight="1">
      <c r="A201" s="501"/>
      <c r="B201" s="501"/>
      <c r="C201" s="501"/>
      <c r="D201" s="501"/>
      <c r="E201" s="519" t="s">
        <v>175</v>
      </c>
      <c r="F201" s="519" t="s">
        <v>112</v>
      </c>
      <c r="G201" s="6">
        <v>843</v>
      </c>
      <c r="H201" s="24">
        <v>10</v>
      </c>
      <c r="I201" s="159" t="s">
        <v>25</v>
      </c>
      <c r="J201" s="7" t="s">
        <v>186</v>
      </c>
      <c r="K201" s="170"/>
      <c r="L201" s="30">
        <v>6588.9</v>
      </c>
      <c r="M201" s="32">
        <v>0</v>
      </c>
      <c r="N201" s="32">
        <v>0</v>
      </c>
      <c r="O201" s="32">
        <v>0</v>
      </c>
      <c r="P201" s="32">
        <v>0</v>
      </c>
      <c r="Q201" s="30">
        <f t="shared" si="33"/>
        <v>0</v>
      </c>
      <c r="R201" s="56"/>
    </row>
    <row r="202" spans="1:18" ht="24" hidden="1" customHeight="1">
      <c r="A202" s="527"/>
      <c r="B202" s="527"/>
      <c r="C202" s="527"/>
      <c r="D202" s="527"/>
      <c r="E202" s="520"/>
      <c r="F202" s="665"/>
      <c r="G202" s="6">
        <v>843</v>
      </c>
      <c r="H202" s="24">
        <v>10</v>
      </c>
      <c r="I202" s="159" t="s">
        <v>9</v>
      </c>
      <c r="J202" s="7" t="s">
        <v>455</v>
      </c>
      <c r="K202" s="170"/>
      <c r="L202" s="30">
        <v>24323.919999999998</v>
      </c>
      <c r="M202" s="32">
        <v>0</v>
      </c>
      <c r="N202" s="32">
        <v>0</v>
      </c>
      <c r="O202" s="32">
        <v>0</v>
      </c>
      <c r="P202" s="32">
        <v>0</v>
      </c>
      <c r="Q202" s="30">
        <f t="shared" si="33"/>
        <v>0</v>
      </c>
    </row>
    <row r="203" spans="1:18" ht="30" hidden="1" customHeight="1">
      <c r="A203" s="527"/>
      <c r="B203" s="527"/>
      <c r="C203" s="527"/>
      <c r="D203" s="527"/>
      <c r="E203" s="520"/>
      <c r="F203" s="519" t="s">
        <v>172</v>
      </c>
      <c r="G203" s="6">
        <v>835</v>
      </c>
      <c r="H203" s="7" t="s">
        <v>69</v>
      </c>
      <c r="I203" s="8" t="s">
        <v>10</v>
      </c>
      <c r="J203" s="7" t="s">
        <v>186</v>
      </c>
      <c r="K203" s="170">
        <v>810</v>
      </c>
      <c r="L203" s="30">
        <v>1987.4</v>
      </c>
      <c r="M203" s="32">
        <v>0</v>
      </c>
      <c r="N203" s="32">
        <v>0</v>
      </c>
      <c r="O203" s="32">
        <v>0</v>
      </c>
      <c r="P203" s="32">
        <v>0</v>
      </c>
      <c r="Q203" s="30">
        <f t="shared" si="33"/>
        <v>0</v>
      </c>
    </row>
    <row r="204" spans="1:18" ht="24" hidden="1" customHeight="1">
      <c r="A204" s="527"/>
      <c r="B204" s="527"/>
      <c r="C204" s="527"/>
      <c r="D204" s="527"/>
      <c r="E204" s="520"/>
      <c r="F204" s="665"/>
      <c r="G204" s="6">
        <v>835</v>
      </c>
      <c r="H204" s="7" t="s">
        <v>69</v>
      </c>
      <c r="I204" s="8" t="s">
        <v>10</v>
      </c>
      <c r="J204" s="7" t="s">
        <v>455</v>
      </c>
      <c r="K204" s="170">
        <v>810</v>
      </c>
      <c r="L204" s="30">
        <v>4637.3</v>
      </c>
      <c r="M204" s="32">
        <v>0</v>
      </c>
      <c r="N204" s="32">
        <v>0</v>
      </c>
      <c r="O204" s="32">
        <v>0</v>
      </c>
      <c r="P204" s="32">
        <v>0</v>
      </c>
      <c r="Q204" s="30">
        <f t="shared" si="33"/>
        <v>0</v>
      </c>
    </row>
    <row r="205" spans="1:18" ht="15" hidden="1" customHeight="1">
      <c r="A205" s="527"/>
      <c r="B205" s="527"/>
      <c r="C205" s="527"/>
      <c r="D205" s="527"/>
      <c r="E205" s="520"/>
      <c r="F205" s="519" t="s">
        <v>187</v>
      </c>
      <c r="G205" s="6">
        <v>874</v>
      </c>
      <c r="H205" s="7" t="s">
        <v>6</v>
      </c>
      <c r="I205" s="8" t="s">
        <v>10</v>
      </c>
      <c r="J205" s="7" t="s">
        <v>186</v>
      </c>
      <c r="K205" s="170"/>
      <c r="L205" s="30">
        <v>1500</v>
      </c>
      <c r="M205" s="32">
        <v>0</v>
      </c>
      <c r="N205" s="32">
        <v>0</v>
      </c>
      <c r="O205" s="32">
        <v>0</v>
      </c>
      <c r="P205" s="32">
        <v>0</v>
      </c>
      <c r="Q205" s="30">
        <f t="shared" si="33"/>
        <v>0</v>
      </c>
    </row>
    <row r="206" spans="1:18" ht="15" hidden="1" customHeight="1">
      <c r="A206" s="527"/>
      <c r="B206" s="527"/>
      <c r="C206" s="527"/>
      <c r="D206" s="527"/>
      <c r="E206" s="520"/>
      <c r="F206" s="665"/>
      <c r="G206" s="6">
        <v>874</v>
      </c>
      <c r="H206" s="7" t="s">
        <v>6</v>
      </c>
      <c r="I206" s="8" t="s">
        <v>10</v>
      </c>
      <c r="J206" s="7" t="s">
        <v>455</v>
      </c>
      <c r="K206" s="170"/>
      <c r="L206" s="32">
        <v>3500</v>
      </c>
      <c r="M206" s="32">
        <v>0</v>
      </c>
      <c r="N206" s="32">
        <v>0</v>
      </c>
      <c r="O206" s="32">
        <v>0</v>
      </c>
      <c r="P206" s="32">
        <v>0</v>
      </c>
      <c r="Q206" s="30">
        <f t="shared" si="33"/>
        <v>0</v>
      </c>
    </row>
    <row r="207" spans="1:18" ht="22.5" hidden="1" customHeight="1">
      <c r="A207" s="527"/>
      <c r="B207" s="527"/>
      <c r="C207" s="527"/>
      <c r="D207" s="527"/>
      <c r="E207" s="520"/>
      <c r="F207" s="519" t="s">
        <v>456</v>
      </c>
      <c r="G207" s="24">
        <v>847</v>
      </c>
      <c r="H207" s="24">
        <v>11</v>
      </c>
      <c r="I207" s="159" t="s">
        <v>33</v>
      </c>
      <c r="J207" s="7" t="s">
        <v>186</v>
      </c>
      <c r="K207" s="170"/>
      <c r="L207" s="32">
        <v>1985.3</v>
      </c>
      <c r="M207" s="32">
        <v>0</v>
      </c>
      <c r="N207" s="32">
        <v>0</v>
      </c>
      <c r="O207" s="32">
        <v>0</v>
      </c>
      <c r="P207" s="32">
        <v>0</v>
      </c>
      <c r="Q207" s="30">
        <f t="shared" si="33"/>
        <v>0</v>
      </c>
    </row>
    <row r="208" spans="1:18" ht="21" hidden="1" customHeight="1">
      <c r="A208" s="527"/>
      <c r="B208" s="527"/>
      <c r="C208" s="527"/>
      <c r="D208" s="527"/>
      <c r="E208" s="520"/>
      <c r="F208" s="665"/>
      <c r="G208" s="24">
        <v>847</v>
      </c>
      <c r="H208" s="24">
        <v>11</v>
      </c>
      <c r="I208" s="159" t="s">
        <v>25</v>
      </c>
      <c r="J208" s="7" t="s">
        <v>455</v>
      </c>
      <c r="K208" s="170"/>
      <c r="L208" s="32">
        <v>4636.8999999999996</v>
      </c>
      <c r="M208" s="32">
        <v>0</v>
      </c>
      <c r="N208" s="32">
        <v>0</v>
      </c>
      <c r="O208" s="32">
        <v>0</v>
      </c>
      <c r="P208" s="32">
        <v>0</v>
      </c>
      <c r="Q208" s="30">
        <f t="shared" si="33"/>
        <v>0</v>
      </c>
    </row>
    <row r="209" spans="1:19" ht="15" hidden="1" customHeight="1">
      <c r="A209" s="527"/>
      <c r="B209" s="527"/>
      <c r="C209" s="527"/>
      <c r="D209" s="527"/>
      <c r="E209" s="520"/>
      <c r="F209" s="519" t="s">
        <v>457</v>
      </c>
      <c r="G209" s="24">
        <v>855</v>
      </c>
      <c r="H209" s="159" t="s">
        <v>35</v>
      </c>
      <c r="I209" s="159" t="s">
        <v>35</v>
      </c>
      <c r="J209" s="7" t="s">
        <v>186</v>
      </c>
      <c r="K209" s="170"/>
      <c r="L209" s="32">
        <v>960.1</v>
      </c>
      <c r="M209" s="32">
        <v>0</v>
      </c>
      <c r="N209" s="32">
        <v>0</v>
      </c>
      <c r="O209" s="32">
        <v>0</v>
      </c>
      <c r="P209" s="32">
        <v>0</v>
      </c>
      <c r="Q209" s="30">
        <f t="shared" si="33"/>
        <v>0</v>
      </c>
    </row>
    <row r="210" spans="1:19" ht="15" hidden="1" customHeight="1">
      <c r="A210" s="527"/>
      <c r="B210" s="527"/>
      <c r="C210" s="527"/>
      <c r="D210" s="527"/>
      <c r="E210" s="520"/>
      <c r="F210" s="665"/>
      <c r="G210" s="24">
        <v>855</v>
      </c>
      <c r="H210" s="159" t="s">
        <v>35</v>
      </c>
      <c r="I210" s="159" t="s">
        <v>35</v>
      </c>
      <c r="J210" s="7" t="s">
        <v>455</v>
      </c>
      <c r="K210" s="170"/>
      <c r="L210" s="32">
        <v>4637.3</v>
      </c>
      <c r="M210" s="32">
        <v>0</v>
      </c>
      <c r="N210" s="32">
        <v>0</v>
      </c>
      <c r="O210" s="32">
        <v>0</v>
      </c>
      <c r="P210" s="32">
        <v>0</v>
      </c>
      <c r="Q210" s="30">
        <f t="shared" si="33"/>
        <v>0</v>
      </c>
    </row>
    <row r="211" spans="1:19" ht="15" hidden="1" customHeight="1">
      <c r="A211" s="527"/>
      <c r="B211" s="527"/>
      <c r="C211" s="527"/>
      <c r="D211" s="527"/>
      <c r="E211" s="520"/>
      <c r="F211" s="519" t="s">
        <v>458</v>
      </c>
      <c r="G211" s="24">
        <v>857</v>
      </c>
      <c r="H211" s="159" t="s">
        <v>34</v>
      </c>
      <c r="I211" s="159" t="s">
        <v>10</v>
      </c>
      <c r="J211" s="7" t="s">
        <v>186</v>
      </c>
      <c r="K211" s="170"/>
      <c r="L211" s="32">
        <v>1900.6</v>
      </c>
      <c r="M211" s="32">
        <v>0</v>
      </c>
      <c r="N211" s="32">
        <v>0</v>
      </c>
      <c r="O211" s="32">
        <v>0</v>
      </c>
      <c r="P211" s="32">
        <v>0</v>
      </c>
      <c r="Q211" s="30">
        <f t="shared" si="33"/>
        <v>0</v>
      </c>
    </row>
    <row r="212" spans="1:19" ht="15" hidden="1" customHeight="1">
      <c r="A212" s="502"/>
      <c r="B212" s="502"/>
      <c r="C212" s="502"/>
      <c r="D212" s="502"/>
      <c r="E212" s="665"/>
      <c r="F212" s="665"/>
      <c r="G212" s="24">
        <v>857</v>
      </c>
      <c r="H212" s="159" t="s">
        <v>34</v>
      </c>
      <c r="I212" s="159" t="s">
        <v>10</v>
      </c>
      <c r="J212" s="7" t="s">
        <v>455</v>
      </c>
      <c r="K212" s="170"/>
      <c r="L212" s="32">
        <v>4637.3</v>
      </c>
      <c r="M212" s="32">
        <v>0</v>
      </c>
      <c r="N212" s="32">
        <v>0</v>
      </c>
      <c r="O212" s="32">
        <v>0</v>
      </c>
      <c r="P212" s="32">
        <v>0</v>
      </c>
      <c r="Q212" s="30">
        <f t="shared" si="33"/>
        <v>0</v>
      </c>
    </row>
    <row r="213" spans="1:19" ht="38.25" hidden="1" customHeight="1">
      <c r="A213" s="159"/>
      <c r="B213" s="8"/>
      <c r="C213" s="8"/>
      <c r="D213" s="8"/>
      <c r="E213" s="1" t="s">
        <v>92</v>
      </c>
      <c r="F213" s="1" t="s">
        <v>112</v>
      </c>
      <c r="G213" s="6">
        <v>843</v>
      </c>
      <c r="H213" s="8" t="s">
        <v>51</v>
      </c>
      <c r="I213" s="8" t="s">
        <v>25</v>
      </c>
      <c r="J213" s="7" t="s">
        <v>155</v>
      </c>
      <c r="K213" s="170"/>
      <c r="L213" s="32">
        <v>9153.2999999999993</v>
      </c>
      <c r="M213" s="32">
        <v>0</v>
      </c>
      <c r="N213" s="32">
        <v>0</v>
      </c>
      <c r="O213" s="32">
        <v>0</v>
      </c>
      <c r="P213" s="32">
        <v>0</v>
      </c>
      <c r="Q213" s="30">
        <f t="shared" si="33"/>
        <v>0</v>
      </c>
    </row>
    <row r="214" spans="1:19" ht="38.25" hidden="1" customHeight="1">
      <c r="A214" s="159"/>
      <c r="B214" s="8"/>
      <c r="C214" s="8"/>
      <c r="D214" s="8"/>
      <c r="E214" s="2" t="s">
        <v>93</v>
      </c>
      <c r="F214" s="1" t="s">
        <v>112</v>
      </c>
      <c r="G214" s="6">
        <v>843</v>
      </c>
      <c r="H214" s="8" t="s">
        <v>51</v>
      </c>
      <c r="I214" s="8" t="s">
        <v>25</v>
      </c>
      <c r="J214" s="7" t="s">
        <v>155</v>
      </c>
      <c r="K214" s="170">
        <v>612</v>
      </c>
      <c r="L214" s="32">
        <f>6443.1+109.5</f>
        <v>6552.6</v>
      </c>
      <c r="M214" s="32">
        <v>0</v>
      </c>
      <c r="N214" s="32">
        <v>0</v>
      </c>
      <c r="O214" s="32">
        <v>0</v>
      </c>
      <c r="P214" s="32">
        <v>0</v>
      </c>
      <c r="Q214" s="30">
        <f t="shared" si="33"/>
        <v>0</v>
      </c>
    </row>
    <row r="215" spans="1:19" ht="38.25" hidden="1" customHeight="1">
      <c r="A215" s="7"/>
      <c r="B215" s="8"/>
      <c r="C215" s="8"/>
      <c r="D215" s="8"/>
      <c r="E215" s="2" t="s">
        <v>94</v>
      </c>
      <c r="F215" s="1" t="s">
        <v>112</v>
      </c>
      <c r="G215" s="6">
        <v>843</v>
      </c>
      <c r="H215" s="8" t="s">
        <v>51</v>
      </c>
      <c r="I215" s="8" t="s">
        <v>25</v>
      </c>
      <c r="J215" s="7" t="s">
        <v>155</v>
      </c>
      <c r="K215" s="170" t="s">
        <v>156</v>
      </c>
      <c r="L215" s="32">
        <f>L213-L214</f>
        <v>2600.6999999999989</v>
      </c>
      <c r="M215" s="32">
        <v>0</v>
      </c>
      <c r="N215" s="32">
        <v>0</v>
      </c>
      <c r="O215" s="32">
        <v>0</v>
      </c>
      <c r="P215" s="32">
        <v>0</v>
      </c>
      <c r="Q215" s="30">
        <f t="shared" si="33"/>
        <v>0</v>
      </c>
    </row>
    <row r="216" spans="1:19" ht="48" hidden="1" customHeight="1">
      <c r="A216" s="501"/>
      <c r="B216" s="501"/>
      <c r="C216" s="501"/>
      <c r="D216" s="511"/>
      <c r="E216" s="505" t="s">
        <v>190</v>
      </c>
      <c r="F216" s="519" t="s">
        <v>112</v>
      </c>
      <c r="G216" s="6">
        <v>843</v>
      </c>
      <c r="H216" s="144">
        <v>10</v>
      </c>
      <c r="I216" s="7" t="s">
        <v>25</v>
      </c>
      <c r="J216" s="7" t="s">
        <v>157</v>
      </c>
      <c r="K216" s="170">
        <v>321.61200000000002</v>
      </c>
      <c r="L216" s="33">
        <v>3450.5</v>
      </c>
      <c r="M216" s="32">
        <v>0</v>
      </c>
      <c r="N216" s="32">
        <v>0</v>
      </c>
      <c r="O216" s="32">
        <v>0</v>
      </c>
      <c r="P216" s="32">
        <v>0</v>
      </c>
      <c r="Q216" s="30">
        <f t="shared" si="33"/>
        <v>0</v>
      </c>
    </row>
    <row r="217" spans="1:19" ht="54" hidden="1" customHeight="1">
      <c r="A217" s="502"/>
      <c r="B217" s="502"/>
      <c r="C217" s="502"/>
      <c r="D217" s="524"/>
      <c r="E217" s="506"/>
      <c r="F217" s="665"/>
      <c r="G217" s="6">
        <v>843</v>
      </c>
      <c r="H217" s="144">
        <v>10</v>
      </c>
      <c r="I217" s="7" t="s">
        <v>6</v>
      </c>
      <c r="J217" s="7" t="s">
        <v>462</v>
      </c>
      <c r="K217" s="170"/>
      <c r="L217" s="33">
        <v>3450.5</v>
      </c>
      <c r="M217" s="32"/>
      <c r="N217" s="32"/>
      <c r="O217" s="32"/>
      <c r="P217" s="32"/>
      <c r="Q217" s="30">
        <f t="shared" si="33"/>
        <v>0</v>
      </c>
    </row>
    <row r="218" spans="1:19" ht="38.25" hidden="1" customHeight="1">
      <c r="A218" s="146"/>
      <c r="B218" s="159"/>
      <c r="C218" s="146"/>
      <c r="D218" s="150"/>
      <c r="E218" s="160" t="s">
        <v>461</v>
      </c>
      <c r="F218" s="1" t="s">
        <v>112</v>
      </c>
      <c r="G218" s="6">
        <v>843</v>
      </c>
      <c r="H218" s="144">
        <v>10</v>
      </c>
      <c r="I218" s="7" t="s">
        <v>25</v>
      </c>
      <c r="J218" s="7" t="s">
        <v>460</v>
      </c>
      <c r="K218" s="170"/>
      <c r="L218" s="33">
        <v>3772.9</v>
      </c>
      <c r="M218" s="32"/>
      <c r="N218" s="32"/>
      <c r="O218" s="32"/>
      <c r="P218" s="32"/>
      <c r="Q218" s="30">
        <f t="shared" si="33"/>
        <v>0</v>
      </c>
    </row>
    <row r="219" spans="1:19" ht="15" customHeight="1">
      <c r="A219" s="501" t="s">
        <v>110</v>
      </c>
      <c r="B219" s="523" t="s">
        <v>10</v>
      </c>
      <c r="C219" s="501"/>
      <c r="D219" s="511"/>
      <c r="E219" s="680" t="s">
        <v>63</v>
      </c>
      <c r="F219" s="1" t="s">
        <v>48</v>
      </c>
      <c r="G219" s="6"/>
      <c r="H219" s="6"/>
      <c r="I219" s="8"/>
      <c r="J219" s="8"/>
      <c r="K219" s="6"/>
      <c r="L219" s="30">
        <f t="shared" ref="L219:Q219" si="34">L220</f>
        <v>329578</v>
      </c>
      <c r="M219" s="30">
        <f t="shared" si="34"/>
        <v>359586.5</v>
      </c>
      <c r="N219" s="30">
        <f t="shared" si="34"/>
        <v>344198.49999999994</v>
      </c>
      <c r="O219" s="30">
        <f t="shared" si="34"/>
        <v>361408.42499999993</v>
      </c>
      <c r="P219" s="30">
        <f t="shared" si="34"/>
        <v>379478.84624999994</v>
      </c>
      <c r="Q219" s="30">
        <f t="shared" si="34"/>
        <v>398452.78856249998</v>
      </c>
      <c r="R219" s="26">
        <v>297804.90000000002</v>
      </c>
      <c r="S219" s="56">
        <f>R219-L219</f>
        <v>-31773.099999999977</v>
      </c>
    </row>
    <row r="220" spans="1:19" ht="38.25">
      <c r="A220" s="502"/>
      <c r="B220" s="523"/>
      <c r="C220" s="502"/>
      <c r="D220" s="524"/>
      <c r="E220" s="680"/>
      <c r="F220" s="1" t="s">
        <v>112</v>
      </c>
      <c r="G220" s="6">
        <v>843</v>
      </c>
      <c r="H220" s="6"/>
      <c r="I220" s="8"/>
      <c r="J220" s="8"/>
      <c r="K220" s="6"/>
      <c r="L220" s="30">
        <f t="shared" ref="L220:Q220" si="35">L221+L223+L225+L227+L230</f>
        <v>329578</v>
      </c>
      <c r="M220" s="30">
        <f t="shared" si="35"/>
        <v>359586.5</v>
      </c>
      <c r="N220" s="30">
        <f t="shared" si="35"/>
        <v>344198.49999999994</v>
      </c>
      <c r="O220" s="30">
        <f t="shared" si="35"/>
        <v>361408.42499999993</v>
      </c>
      <c r="P220" s="30">
        <f t="shared" si="35"/>
        <v>379478.84624999994</v>
      </c>
      <c r="Q220" s="30">
        <f t="shared" si="35"/>
        <v>398452.78856249998</v>
      </c>
    </row>
    <row r="221" spans="1:19" ht="38.25">
      <c r="A221" s="147" t="s">
        <v>110</v>
      </c>
      <c r="B221" s="159" t="s">
        <v>10</v>
      </c>
      <c r="C221" s="147" t="s">
        <v>7</v>
      </c>
      <c r="D221" s="151"/>
      <c r="E221" s="185" t="s">
        <v>454</v>
      </c>
      <c r="F221" s="1" t="s">
        <v>112</v>
      </c>
      <c r="G221" s="6">
        <v>843</v>
      </c>
      <c r="H221" s="6">
        <v>10</v>
      </c>
      <c r="I221" s="8" t="s">
        <v>9</v>
      </c>
      <c r="J221" s="8" t="s">
        <v>350</v>
      </c>
      <c r="K221" s="6">
        <v>880</v>
      </c>
      <c r="L221" s="30">
        <f>L222+L232</f>
        <v>12177.8</v>
      </c>
      <c r="M221" s="30">
        <f>M222</f>
        <v>16176.800000000001</v>
      </c>
      <c r="N221" s="30">
        <f>N222</f>
        <v>13410.4</v>
      </c>
      <c r="O221" s="30">
        <f>O222</f>
        <v>14080.92</v>
      </c>
      <c r="P221" s="30">
        <f>P222</f>
        <v>14784.966</v>
      </c>
      <c r="Q221" s="30">
        <f t="shared" si="33"/>
        <v>15524.214300000001</v>
      </c>
    </row>
    <row r="222" spans="1:19" s="195" customFormat="1" ht="38.25" hidden="1" customHeight="1">
      <c r="A222" s="188" t="s">
        <v>110</v>
      </c>
      <c r="B222" s="189" t="s">
        <v>10</v>
      </c>
      <c r="C222" s="188" t="s">
        <v>7</v>
      </c>
      <c r="D222" s="190" t="s">
        <v>7</v>
      </c>
      <c r="E222" s="191" t="s">
        <v>349</v>
      </c>
      <c r="F222" s="192" t="s">
        <v>112</v>
      </c>
      <c r="G222" s="193">
        <v>843</v>
      </c>
      <c r="H222" s="193">
        <v>10</v>
      </c>
      <c r="I222" s="190" t="s">
        <v>9</v>
      </c>
      <c r="J222" s="190" t="s">
        <v>351</v>
      </c>
      <c r="K222" s="193">
        <v>880</v>
      </c>
      <c r="L222" s="194"/>
      <c r="M222" s="194">
        <f>13423.7+2753.1</f>
        <v>16176.800000000001</v>
      </c>
      <c r="N222" s="194">
        <v>13410.4</v>
      </c>
      <c r="O222" s="194">
        <f>N222*1.05</f>
        <v>14080.92</v>
      </c>
      <c r="P222" s="194">
        <f>O222*1.05</f>
        <v>14784.966</v>
      </c>
      <c r="Q222" s="194">
        <f t="shared" si="33"/>
        <v>15524.214300000001</v>
      </c>
    </row>
    <row r="223" spans="1:19" ht="38.25">
      <c r="A223" s="207" t="s">
        <v>110</v>
      </c>
      <c r="B223" s="209" t="s">
        <v>10</v>
      </c>
      <c r="C223" s="207" t="s">
        <v>8</v>
      </c>
      <c r="D223" s="8"/>
      <c r="E223" s="208" t="s">
        <v>352</v>
      </c>
      <c r="F223" s="1" t="s">
        <v>112</v>
      </c>
      <c r="G223" s="6">
        <v>843</v>
      </c>
      <c r="H223" s="6">
        <v>10</v>
      </c>
      <c r="I223" s="8" t="s">
        <v>25</v>
      </c>
      <c r="J223" s="8" t="s">
        <v>356</v>
      </c>
      <c r="K223" s="206" t="s">
        <v>482</v>
      </c>
      <c r="L223" s="30">
        <f>L224+L233</f>
        <v>66910.3</v>
      </c>
      <c r="M223" s="30">
        <f>M224</f>
        <v>67397.7</v>
      </c>
      <c r="N223" s="30">
        <f>N224</f>
        <v>70466.2</v>
      </c>
      <c r="O223" s="30">
        <f>O224</f>
        <v>73989.509999999995</v>
      </c>
      <c r="P223" s="30">
        <f>P224</f>
        <v>77688.985499999995</v>
      </c>
      <c r="Q223" s="30">
        <f>Q224</f>
        <v>81573.434775000002</v>
      </c>
    </row>
    <row r="224" spans="1:19" s="195" customFormat="1" ht="38.25" hidden="1" customHeight="1">
      <c r="A224" s="188" t="s">
        <v>110</v>
      </c>
      <c r="B224" s="189" t="s">
        <v>10</v>
      </c>
      <c r="C224" s="188" t="s">
        <v>8</v>
      </c>
      <c r="D224" s="190" t="s">
        <v>7</v>
      </c>
      <c r="E224" s="191" t="s">
        <v>353</v>
      </c>
      <c r="F224" s="192" t="s">
        <v>112</v>
      </c>
      <c r="G224" s="193">
        <v>843</v>
      </c>
      <c r="H224" s="193">
        <v>10</v>
      </c>
      <c r="I224" s="190" t="s">
        <v>25</v>
      </c>
      <c r="J224" s="190" t="s">
        <v>357</v>
      </c>
      <c r="K224" s="196" t="s">
        <v>395</v>
      </c>
      <c r="L224" s="194"/>
      <c r="M224" s="194">
        <f>60374+7023.7</f>
        <v>67397.7</v>
      </c>
      <c r="N224" s="194">
        <f>49112.7+14831.6+68.1+304+135.7+991.2+151.8+22+2084.4+370.7+1559.8+118.5+689.6+26.1</f>
        <v>70466.2</v>
      </c>
      <c r="O224" s="194">
        <f>N224*1.05</f>
        <v>73989.509999999995</v>
      </c>
      <c r="P224" s="194">
        <f>O224*1.05</f>
        <v>77688.985499999995</v>
      </c>
      <c r="Q224" s="194">
        <f t="shared" si="33"/>
        <v>81573.434775000002</v>
      </c>
    </row>
    <row r="225" spans="1:17" ht="38.25">
      <c r="A225" s="147" t="s">
        <v>110</v>
      </c>
      <c r="B225" s="159" t="s">
        <v>10</v>
      </c>
      <c r="C225" s="147" t="s">
        <v>9</v>
      </c>
      <c r="D225" s="151"/>
      <c r="E225" s="185" t="s">
        <v>354</v>
      </c>
      <c r="F225" s="1" t="s">
        <v>112</v>
      </c>
      <c r="G225" s="6">
        <v>843</v>
      </c>
      <c r="H225" s="6">
        <v>10</v>
      </c>
      <c r="I225" s="8" t="s">
        <v>25</v>
      </c>
      <c r="J225" s="8" t="s">
        <v>358</v>
      </c>
      <c r="K225" s="170" t="s">
        <v>482</v>
      </c>
      <c r="L225" s="30">
        <f>L226+L234</f>
        <v>217510.6</v>
      </c>
      <c r="M225" s="30">
        <f>M226</f>
        <v>230238.5</v>
      </c>
      <c r="N225" s="30">
        <f>N226</f>
        <v>226077.09999999995</v>
      </c>
      <c r="O225" s="30">
        <f>O226</f>
        <v>237380.95499999996</v>
      </c>
      <c r="P225" s="30">
        <f>P226</f>
        <v>249250.00274999996</v>
      </c>
      <c r="Q225" s="30">
        <f>Q226</f>
        <v>261712.50288749996</v>
      </c>
    </row>
    <row r="226" spans="1:17" s="195" customFormat="1" ht="38.25" hidden="1" customHeight="1">
      <c r="A226" s="188" t="s">
        <v>110</v>
      </c>
      <c r="B226" s="189" t="s">
        <v>10</v>
      </c>
      <c r="C226" s="188" t="s">
        <v>9</v>
      </c>
      <c r="D226" s="190" t="s">
        <v>7</v>
      </c>
      <c r="E226" s="191" t="s">
        <v>355</v>
      </c>
      <c r="F226" s="192" t="s">
        <v>112</v>
      </c>
      <c r="G226" s="193">
        <v>843</v>
      </c>
      <c r="H226" s="193">
        <v>10</v>
      </c>
      <c r="I226" s="190" t="s">
        <v>25</v>
      </c>
      <c r="J226" s="190" t="s">
        <v>359</v>
      </c>
      <c r="K226" s="196" t="s">
        <v>395</v>
      </c>
      <c r="L226" s="194"/>
      <c r="M226" s="194">
        <f>205254.3+24984.2</f>
        <v>230238.5</v>
      </c>
      <c r="N226" s="194">
        <f>160834+48573.9+79.9+2219.9+711.3+719.3+379.6+243.5+903.1+5005.6+688.4+1582+1476.8+2509.9+149.9</f>
        <v>226077.09999999995</v>
      </c>
      <c r="O226" s="194">
        <f>N226*1.05</f>
        <v>237380.95499999996</v>
      </c>
      <c r="P226" s="194">
        <f>O226*1.05</f>
        <v>249250.00274999996</v>
      </c>
      <c r="Q226" s="194">
        <f t="shared" si="33"/>
        <v>261712.50288749996</v>
      </c>
    </row>
    <row r="227" spans="1:17" ht="38.25">
      <c r="A227" s="147" t="s">
        <v>110</v>
      </c>
      <c r="B227" s="159" t="s">
        <v>10</v>
      </c>
      <c r="C227" s="147" t="s">
        <v>10</v>
      </c>
      <c r="D227" s="8"/>
      <c r="E227" s="160" t="s">
        <v>65</v>
      </c>
      <c r="F227" s="1" t="s">
        <v>112</v>
      </c>
      <c r="G227" s="6">
        <v>843</v>
      </c>
      <c r="H227" s="6">
        <v>10</v>
      </c>
      <c r="I227" s="8" t="s">
        <v>25</v>
      </c>
      <c r="J227" s="8" t="s">
        <v>360</v>
      </c>
      <c r="K227" s="170" t="s">
        <v>483</v>
      </c>
      <c r="L227" s="30">
        <f t="shared" ref="L227:Q227" si="36">L228+L229+L235+L112+L180</f>
        <v>32979.299999999996</v>
      </c>
      <c r="M227" s="30">
        <f t="shared" si="36"/>
        <v>32571.299999999996</v>
      </c>
      <c r="N227" s="30">
        <f t="shared" si="36"/>
        <v>34244.800000000003</v>
      </c>
      <c r="O227" s="30">
        <f t="shared" si="36"/>
        <v>35957.040000000001</v>
      </c>
      <c r="P227" s="30">
        <f t="shared" si="36"/>
        <v>37754.892000000007</v>
      </c>
      <c r="Q227" s="30">
        <f t="shared" si="36"/>
        <v>39642.636600000013</v>
      </c>
    </row>
    <row r="228" spans="1:17" s="195" customFormat="1" ht="38.25" hidden="1" customHeight="1">
      <c r="A228" s="188" t="s">
        <v>110</v>
      </c>
      <c r="B228" s="189" t="s">
        <v>10</v>
      </c>
      <c r="C228" s="188" t="s">
        <v>10</v>
      </c>
      <c r="D228" s="190" t="s">
        <v>7</v>
      </c>
      <c r="E228" s="191" t="s">
        <v>322</v>
      </c>
      <c r="F228" s="192" t="s">
        <v>112</v>
      </c>
      <c r="G228" s="193">
        <v>843</v>
      </c>
      <c r="H228" s="193">
        <v>10</v>
      </c>
      <c r="I228" s="190" t="s">
        <v>25</v>
      </c>
      <c r="J228" s="190" t="s">
        <v>361</v>
      </c>
      <c r="K228" s="196" t="s">
        <v>396</v>
      </c>
      <c r="L228" s="194"/>
      <c r="M228" s="194">
        <v>13033.1</v>
      </c>
      <c r="N228" s="194">
        <v>0</v>
      </c>
      <c r="O228" s="194"/>
      <c r="P228" s="194">
        <f>O228*1.05</f>
        <v>0</v>
      </c>
      <c r="Q228" s="194">
        <f t="shared" si="33"/>
        <v>0</v>
      </c>
    </row>
    <row r="229" spans="1:17" s="195" customFormat="1" ht="38.25" hidden="1" customHeight="1">
      <c r="A229" s="188" t="s">
        <v>110</v>
      </c>
      <c r="B229" s="189" t="s">
        <v>10</v>
      </c>
      <c r="C229" s="188" t="s">
        <v>10</v>
      </c>
      <c r="D229" s="190" t="s">
        <v>8</v>
      </c>
      <c r="E229" s="191" t="s">
        <v>294</v>
      </c>
      <c r="F229" s="192" t="s">
        <v>112</v>
      </c>
      <c r="G229" s="193">
        <v>843</v>
      </c>
      <c r="H229" s="193">
        <v>10</v>
      </c>
      <c r="I229" s="190" t="s">
        <v>25</v>
      </c>
      <c r="J229" s="190" t="s">
        <v>362</v>
      </c>
      <c r="K229" s="196" t="s">
        <v>396</v>
      </c>
      <c r="L229" s="194"/>
      <c r="M229" s="194">
        <f>25632.8-6094.6</f>
        <v>19538.199999999997</v>
      </c>
      <c r="N229" s="194">
        <v>0</v>
      </c>
      <c r="O229" s="194">
        <f>N229*1.05</f>
        <v>0</v>
      </c>
      <c r="P229" s="194">
        <f>O229*1.05</f>
        <v>0</v>
      </c>
      <c r="Q229" s="194">
        <f t="shared" si="33"/>
        <v>0</v>
      </c>
    </row>
    <row r="230" spans="1:17" ht="51">
      <c r="A230" s="147" t="s">
        <v>110</v>
      </c>
      <c r="B230" s="159" t="s">
        <v>10</v>
      </c>
      <c r="C230" s="147" t="s">
        <v>33</v>
      </c>
      <c r="D230" s="8"/>
      <c r="E230" s="160" t="s">
        <v>363</v>
      </c>
      <c r="F230" s="1" t="s">
        <v>112</v>
      </c>
      <c r="G230" s="6">
        <v>843</v>
      </c>
      <c r="H230" s="8" t="s">
        <v>7</v>
      </c>
      <c r="I230" s="8" t="s">
        <v>10</v>
      </c>
      <c r="J230" s="8" t="s">
        <v>368</v>
      </c>
      <c r="K230" s="6">
        <v>530</v>
      </c>
      <c r="L230" s="30">
        <f t="shared" ref="L230:Q230" si="37">L231</f>
        <v>0</v>
      </c>
      <c r="M230" s="30">
        <f t="shared" si="37"/>
        <v>13202.199999999999</v>
      </c>
      <c r="N230" s="30">
        <f t="shared" si="37"/>
        <v>0</v>
      </c>
      <c r="O230" s="30">
        <f t="shared" si="37"/>
        <v>0</v>
      </c>
      <c r="P230" s="30">
        <f t="shared" si="37"/>
        <v>0</v>
      </c>
      <c r="Q230" s="30">
        <f t="shared" si="37"/>
        <v>0</v>
      </c>
    </row>
    <row r="231" spans="1:17" s="195" customFormat="1" ht="38.25" hidden="1" customHeight="1">
      <c r="A231" s="188" t="s">
        <v>110</v>
      </c>
      <c r="B231" s="189" t="s">
        <v>10</v>
      </c>
      <c r="C231" s="188" t="s">
        <v>33</v>
      </c>
      <c r="D231" s="190" t="s">
        <v>7</v>
      </c>
      <c r="E231" s="191" t="s">
        <v>364</v>
      </c>
      <c r="F231" s="192" t="s">
        <v>112</v>
      </c>
      <c r="G231" s="193">
        <v>843</v>
      </c>
      <c r="H231" s="190" t="s">
        <v>7</v>
      </c>
      <c r="I231" s="190" t="s">
        <v>10</v>
      </c>
      <c r="J231" s="190" t="s">
        <v>369</v>
      </c>
      <c r="K231" s="193">
        <v>530</v>
      </c>
      <c r="L231" s="194"/>
      <c r="M231" s="194">
        <f>11940.8+1261.4</f>
        <v>13202.199999999999</v>
      </c>
      <c r="N231" s="194">
        <v>0</v>
      </c>
      <c r="O231" s="194">
        <f t="shared" ref="O231:P235" si="38">N231*1.05</f>
        <v>0</v>
      </c>
      <c r="P231" s="194">
        <f t="shared" si="38"/>
        <v>0</v>
      </c>
      <c r="Q231" s="194">
        <f t="shared" si="33"/>
        <v>0</v>
      </c>
    </row>
    <row r="232" spans="1:17" s="195" customFormat="1" ht="38.25" hidden="1" customHeight="1">
      <c r="A232" s="189"/>
      <c r="B232" s="189"/>
      <c r="C232" s="189"/>
      <c r="D232" s="190"/>
      <c r="E232" s="191" t="s">
        <v>36</v>
      </c>
      <c r="F232" s="192" t="s">
        <v>112</v>
      </c>
      <c r="G232" s="193">
        <v>843</v>
      </c>
      <c r="H232" s="196">
        <v>10</v>
      </c>
      <c r="I232" s="197" t="s">
        <v>9</v>
      </c>
      <c r="J232" s="197" t="s">
        <v>138</v>
      </c>
      <c r="K232" s="196" t="s">
        <v>64</v>
      </c>
      <c r="L232" s="198">
        <v>12177.8</v>
      </c>
      <c r="M232" s="199">
        <v>0</v>
      </c>
      <c r="N232" s="194">
        <v>0</v>
      </c>
      <c r="O232" s="194">
        <f t="shared" si="38"/>
        <v>0</v>
      </c>
      <c r="P232" s="194">
        <f t="shared" si="38"/>
        <v>0</v>
      </c>
      <c r="Q232" s="194">
        <f t="shared" si="33"/>
        <v>0</v>
      </c>
    </row>
    <row r="233" spans="1:17" s="195" customFormat="1" ht="38.25" hidden="1" customHeight="1">
      <c r="A233" s="189"/>
      <c r="B233" s="189"/>
      <c r="C233" s="189"/>
      <c r="D233" s="190"/>
      <c r="E233" s="191" t="s">
        <v>53</v>
      </c>
      <c r="F233" s="192" t="s">
        <v>112</v>
      </c>
      <c r="G233" s="193">
        <v>843</v>
      </c>
      <c r="H233" s="196">
        <v>10</v>
      </c>
      <c r="I233" s="197" t="s">
        <v>25</v>
      </c>
      <c r="J233" s="197" t="s">
        <v>135</v>
      </c>
      <c r="K233" s="196" t="s">
        <v>67</v>
      </c>
      <c r="L233" s="198">
        <v>66910.3</v>
      </c>
      <c r="M233" s="199">
        <v>0</v>
      </c>
      <c r="N233" s="194">
        <v>0</v>
      </c>
      <c r="O233" s="194">
        <f t="shared" si="38"/>
        <v>0</v>
      </c>
      <c r="P233" s="194">
        <f t="shared" si="38"/>
        <v>0</v>
      </c>
      <c r="Q233" s="194">
        <f t="shared" si="33"/>
        <v>0</v>
      </c>
    </row>
    <row r="234" spans="1:17" s="195" customFormat="1" ht="38.25" hidden="1" customHeight="1">
      <c r="A234" s="189"/>
      <c r="B234" s="189"/>
      <c r="C234" s="189"/>
      <c r="D234" s="190"/>
      <c r="E234" s="191" t="s">
        <v>37</v>
      </c>
      <c r="F234" s="192" t="s">
        <v>112</v>
      </c>
      <c r="G234" s="193">
        <v>843</v>
      </c>
      <c r="H234" s="196">
        <v>10</v>
      </c>
      <c r="I234" s="197" t="s">
        <v>25</v>
      </c>
      <c r="J234" s="197" t="s">
        <v>136</v>
      </c>
      <c r="K234" s="196" t="s">
        <v>66</v>
      </c>
      <c r="L234" s="198">
        <v>217510.6</v>
      </c>
      <c r="M234" s="199">
        <v>0</v>
      </c>
      <c r="N234" s="194">
        <v>0</v>
      </c>
      <c r="O234" s="194">
        <f t="shared" si="38"/>
        <v>0</v>
      </c>
      <c r="P234" s="194">
        <f t="shared" si="38"/>
        <v>0</v>
      </c>
      <c r="Q234" s="194">
        <f t="shared" si="33"/>
        <v>0</v>
      </c>
    </row>
    <row r="235" spans="1:17" s="195" customFormat="1" ht="38.25" hidden="1" customHeight="1">
      <c r="A235" s="189"/>
      <c r="B235" s="190"/>
      <c r="C235" s="190"/>
      <c r="D235" s="190"/>
      <c r="E235" s="192" t="s">
        <v>65</v>
      </c>
      <c r="F235" s="192" t="s">
        <v>112</v>
      </c>
      <c r="G235" s="193">
        <v>843</v>
      </c>
      <c r="H235" s="196">
        <v>10</v>
      </c>
      <c r="I235" s="197" t="s">
        <v>25</v>
      </c>
      <c r="J235" s="197" t="s">
        <v>137</v>
      </c>
      <c r="K235" s="196">
        <v>851</v>
      </c>
      <c r="L235" s="198">
        <f>482.8+723.4</f>
        <v>1206.2</v>
      </c>
      <c r="M235" s="199">
        <v>0</v>
      </c>
      <c r="N235" s="194">
        <v>1442.2</v>
      </c>
      <c r="O235" s="194">
        <f t="shared" si="38"/>
        <v>1514.3100000000002</v>
      </c>
      <c r="P235" s="194">
        <f t="shared" si="38"/>
        <v>1590.0255000000002</v>
      </c>
      <c r="Q235" s="194">
        <f t="shared" si="33"/>
        <v>1669.5267750000003</v>
      </c>
    </row>
    <row r="236" spans="1:17" ht="15.75" customHeight="1">
      <c r="A236" s="28"/>
      <c r="B236" s="28"/>
      <c r="C236" s="28"/>
      <c r="D236" s="28"/>
      <c r="E236" s="28"/>
      <c r="F236" s="28"/>
      <c r="G236" s="28"/>
      <c r="H236" s="28"/>
      <c r="I236" s="28"/>
      <c r="J236" s="28"/>
      <c r="K236" s="28"/>
      <c r="L236" s="49"/>
      <c r="M236" s="49"/>
      <c r="N236" s="49"/>
      <c r="O236" s="49"/>
      <c r="P236" s="49"/>
      <c r="Q236" s="49"/>
    </row>
    <row r="237" spans="1:17" ht="15">
      <c r="A237" s="28"/>
      <c r="B237" s="28"/>
      <c r="C237" s="28"/>
      <c r="D237" s="16"/>
      <c r="E237" s="28"/>
      <c r="F237" s="28"/>
      <c r="G237" s="521" t="s">
        <v>449</v>
      </c>
      <c r="H237" s="521"/>
      <c r="I237" s="521"/>
      <c r="J237" s="521"/>
      <c r="K237" s="521"/>
      <c r="L237" s="521"/>
    </row>
  </sheetData>
  <mergeCells count="87">
    <mergeCell ref="A18:A24"/>
    <mergeCell ref="B18:B24"/>
    <mergeCell ref="C18:C24"/>
    <mergeCell ref="A216:A217"/>
    <mergeCell ref="B216:B217"/>
    <mergeCell ref="C216:C217"/>
    <mergeCell ref="C127:C133"/>
    <mergeCell ref="A201:A212"/>
    <mergeCell ref="B201:B212"/>
    <mergeCell ref="C201:C212"/>
    <mergeCell ref="B148:B159"/>
    <mergeCell ref="A148:A159"/>
    <mergeCell ref="A163:A164"/>
    <mergeCell ref="A78:A81"/>
    <mergeCell ref="B163:B164"/>
    <mergeCell ref="C163:C164"/>
    <mergeCell ref="E216:E217"/>
    <mergeCell ref="E219:E220"/>
    <mergeCell ref="A127:A133"/>
    <mergeCell ref="D201:D212"/>
    <mergeCell ref="D163:D164"/>
    <mergeCell ref="C148:C159"/>
    <mergeCell ref="B127:B133"/>
    <mergeCell ref="A219:A220"/>
    <mergeCell ref="D219:D220"/>
    <mergeCell ref="B219:B220"/>
    <mergeCell ref="C219:C220"/>
    <mergeCell ref="F201:F202"/>
    <mergeCell ref="F203:F204"/>
    <mergeCell ref="F207:F208"/>
    <mergeCell ref="F216:F217"/>
    <mergeCell ref="F209:F210"/>
    <mergeCell ref="F211:F212"/>
    <mergeCell ref="F205:F206"/>
    <mergeCell ref="E25:E26"/>
    <mergeCell ref="A25:A26"/>
    <mergeCell ref="C25:C26"/>
    <mergeCell ref="A117:A118"/>
    <mergeCell ref="B117:B118"/>
    <mergeCell ref="C117:C118"/>
    <mergeCell ref="D117:D118"/>
    <mergeCell ref="A101:A103"/>
    <mergeCell ref="B101:B103"/>
    <mergeCell ref="C101:C103"/>
    <mergeCell ref="D101:D103"/>
    <mergeCell ref="D25:D26"/>
    <mergeCell ref="B25:B26"/>
    <mergeCell ref="N1:Q1"/>
    <mergeCell ref="N2:Q2"/>
    <mergeCell ref="C78:C81"/>
    <mergeCell ref="D78:D81"/>
    <mergeCell ref="B78:B81"/>
    <mergeCell ref="E78:E81"/>
    <mergeCell ref="L16:Q16"/>
    <mergeCell ref="N4:Q4"/>
    <mergeCell ref="N6:Q6"/>
    <mergeCell ref="A13:E13"/>
    <mergeCell ref="A16:D16"/>
    <mergeCell ref="E16:E17"/>
    <mergeCell ref="F16:F17"/>
    <mergeCell ref="F11:Q11"/>
    <mergeCell ref="F12:Q12"/>
    <mergeCell ref="A9:Q9"/>
    <mergeCell ref="F13:Q13"/>
    <mergeCell ref="F148:F149"/>
    <mergeCell ref="F150:F151"/>
    <mergeCell ref="F152:F153"/>
    <mergeCell ref="F154:F155"/>
    <mergeCell ref="F14:Q14"/>
    <mergeCell ref="G16:K16"/>
    <mergeCell ref="G117:G118"/>
    <mergeCell ref="G237:L237"/>
    <mergeCell ref="E18:E24"/>
    <mergeCell ref="D18:D24"/>
    <mergeCell ref="F156:F157"/>
    <mergeCell ref="F158:F159"/>
    <mergeCell ref="E148:E159"/>
    <mergeCell ref="F117:F118"/>
    <mergeCell ref="E101:E103"/>
    <mergeCell ref="E117:E118"/>
    <mergeCell ref="E127:E133"/>
    <mergeCell ref="D127:D133"/>
    <mergeCell ref="E201:E212"/>
    <mergeCell ref="D148:D159"/>
    <mergeCell ref="E163:E164"/>
    <mergeCell ref="F163:F164"/>
    <mergeCell ref="D216:D217"/>
  </mergeCells>
  <printOptions horizontalCentered="1"/>
  <pageMargins left="0.27559055118110237" right="0.35433070866141736" top="0.37" bottom="0.25" header="0.17" footer="0.28999999999999998"/>
  <pageSetup paperSize="9" scale="59" fitToHeight="24"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17</vt:i4>
      </vt:variant>
    </vt:vector>
  </HeadingPairs>
  <TitlesOfParts>
    <vt:vector size="26" baseType="lpstr">
      <vt:lpstr>форма 1</vt:lpstr>
      <vt:lpstr>форма 2</vt:lpstr>
      <vt:lpstr>форма 3</vt:lpstr>
      <vt:lpstr>форма 4</vt:lpstr>
      <vt:lpstr>форма 5</vt:lpstr>
      <vt:lpstr>форма 6</vt:lpstr>
      <vt:lpstr>копия прил 5</vt:lpstr>
      <vt:lpstr>гос задание</vt:lpstr>
      <vt:lpstr>ресурсн обеспечен</vt:lpstr>
      <vt:lpstr>'гос задание'!Заголовки_для_печати</vt:lpstr>
      <vt:lpstr>'копия прил 5'!Заголовки_для_печати</vt:lpstr>
      <vt:lpstr>'ресурсн обеспечен'!Заголовки_для_печати</vt:lpstr>
      <vt:lpstr>'форма 1'!Заголовки_для_печати</vt:lpstr>
      <vt:lpstr>'форма 2'!Заголовки_для_печати</vt:lpstr>
      <vt:lpstr>'форма 3'!Заголовки_для_печати</vt:lpstr>
      <vt:lpstr>'форма 4'!Заголовки_для_печати</vt:lpstr>
      <vt:lpstr>'форма 5'!Заголовки_для_печати</vt:lpstr>
      <vt:lpstr>'гос задание'!Область_печати</vt:lpstr>
      <vt:lpstr>'копия прил 5'!Область_печати</vt:lpstr>
      <vt:lpstr>'ресурсн обеспечен'!Область_печати</vt:lpstr>
      <vt:lpstr>'форма 1'!Область_печати</vt:lpstr>
      <vt:lpstr>'форма 2'!Область_печати</vt:lpstr>
      <vt:lpstr>'форма 3'!Область_печати</vt:lpstr>
      <vt:lpstr>'форма 4'!Область_печати</vt:lpstr>
      <vt:lpstr>'форма 5'!Область_печати</vt:lpstr>
      <vt:lpstr>'форма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2018-04-05T12:01:27Z</cp:lastPrinted>
  <dcterms:created xsi:type="dcterms:W3CDTF">2013-05-23T11:07:41Z</dcterms:created>
  <dcterms:modified xsi:type="dcterms:W3CDTF">2018-04-09T12:40:53Z</dcterms:modified>
</cp:coreProperties>
</file>